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andre\Documents\PÁGINA WEB\2 - Contenidos en proceso\Entrada Nº121 - HOJA EXCEL PARA CALCULAR CABLES ELÉCTRICOS EN BAJA TENSIÓN\Archivos asociados\"/>
    </mc:Choice>
  </mc:AlternateContent>
  <xr:revisionPtr revIDLastSave="0" documentId="13_ncr:1_{037856B9-4580-4997-8F4D-6A841325EF1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TOS" sheetId="4" r:id="rId1"/>
    <sheet name="BASE" sheetId="2" r:id="rId2"/>
    <sheet name="BLANCO" sheetId="3" r:id="rId3"/>
  </sheets>
  <definedNames>
    <definedName name="_xlnm.Print_Area" localSheetId="0">DATOS!$A$1:$L$160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6" i="4" l="1"/>
  <c r="L145" i="4"/>
  <c r="L144" i="4"/>
  <c r="H147" i="4"/>
  <c r="I147" i="4" s="1"/>
  <c r="J147" i="4" s="1"/>
  <c r="K146" i="4"/>
  <c r="J146" i="4"/>
  <c r="I146" i="4"/>
  <c r="H146" i="4"/>
  <c r="K145" i="4"/>
  <c r="J145" i="4"/>
  <c r="I145" i="4"/>
  <c r="H145" i="4"/>
  <c r="K144" i="4"/>
  <c r="J144" i="4"/>
  <c r="I144" i="4"/>
  <c r="H144" i="4"/>
  <c r="H143" i="4"/>
  <c r="I143" i="4" s="1"/>
  <c r="J143" i="4" s="1"/>
  <c r="C141" i="4"/>
  <c r="B141" i="4"/>
  <c r="C140" i="4"/>
  <c r="B140" i="4"/>
  <c r="C139" i="4"/>
  <c r="B139" i="4"/>
  <c r="C138" i="4"/>
  <c r="B138" i="4"/>
  <c r="C137" i="4"/>
  <c r="B137" i="4"/>
  <c r="C136" i="4"/>
  <c r="B136" i="4"/>
  <c r="C135" i="4"/>
  <c r="B135" i="4"/>
  <c r="C134" i="4"/>
  <c r="B134" i="4"/>
  <c r="C133" i="4"/>
  <c r="B133" i="4"/>
  <c r="C132" i="4"/>
  <c r="B132" i="4"/>
  <c r="C131" i="4"/>
  <c r="B131" i="4"/>
  <c r="C130" i="4"/>
  <c r="B130" i="4"/>
  <c r="C129" i="4"/>
  <c r="B129" i="4"/>
  <c r="C128" i="4"/>
  <c r="B128" i="4"/>
  <c r="C127" i="4"/>
  <c r="B127" i="4"/>
  <c r="C126" i="4"/>
  <c r="B126" i="4"/>
  <c r="C125" i="4"/>
  <c r="B125" i="4"/>
  <c r="C124" i="4"/>
  <c r="B124" i="4"/>
  <c r="C123" i="4"/>
  <c r="B123" i="4"/>
  <c r="C122" i="4"/>
  <c r="B122" i="4"/>
  <c r="C116" i="4"/>
  <c r="B116" i="4"/>
  <c r="C115" i="4"/>
  <c r="B115" i="4"/>
  <c r="C114" i="4"/>
  <c r="B114" i="4"/>
  <c r="C113" i="4"/>
  <c r="B113" i="4"/>
  <c r="C112" i="4"/>
  <c r="B112" i="4"/>
  <c r="C111" i="4"/>
  <c r="B111" i="4"/>
  <c r="C110" i="4"/>
  <c r="B110" i="4"/>
  <c r="C109" i="4"/>
  <c r="B109" i="4"/>
  <c r="C108" i="4"/>
  <c r="B108" i="4"/>
  <c r="C107" i="4"/>
  <c r="B107" i="4"/>
  <c r="C106" i="4"/>
  <c r="B106" i="4"/>
  <c r="C105" i="4"/>
  <c r="B105" i="4"/>
  <c r="C104" i="4"/>
  <c r="B104" i="4"/>
  <c r="C103" i="4"/>
  <c r="B103" i="4"/>
  <c r="C102" i="4"/>
  <c r="B102" i="4"/>
  <c r="C101" i="4"/>
  <c r="B101" i="4"/>
  <c r="C100" i="4"/>
  <c r="B100" i="4"/>
  <c r="C99" i="4"/>
  <c r="B99" i="4"/>
  <c r="C98" i="4"/>
  <c r="B98" i="4"/>
  <c r="C97" i="4"/>
  <c r="B97" i="4"/>
  <c r="G92" i="4"/>
  <c r="F92" i="4"/>
  <c r="D92" i="4"/>
  <c r="C92" i="4"/>
  <c r="B92" i="4"/>
  <c r="G91" i="4"/>
  <c r="F91" i="4"/>
  <c r="D91" i="4"/>
  <c r="C91" i="4"/>
  <c r="B91" i="4"/>
  <c r="G90" i="4"/>
  <c r="F90" i="4"/>
  <c r="D90" i="4"/>
  <c r="C90" i="4"/>
  <c r="B90" i="4"/>
  <c r="G89" i="4"/>
  <c r="F89" i="4"/>
  <c r="D89" i="4"/>
  <c r="C89" i="4"/>
  <c r="B89" i="4"/>
  <c r="G88" i="4"/>
  <c r="F88" i="4"/>
  <c r="D88" i="4"/>
  <c r="C88" i="4"/>
  <c r="B88" i="4"/>
  <c r="G87" i="4"/>
  <c r="F87" i="4"/>
  <c r="D87" i="4"/>
  <c r="C87" i="4"/>
  <c r="B87" i="4"/>
  <c r="G86" i="4"/>
  <c r="F86" i="4"/>
  <c r="D86" i="4"/>
  <c r="C86" i="4"/>
  <c r="B86" i="4"/>
  <c r="G85" i="4"/>
  <c r="F85" i="4"/>
  <c r="D85" i="4"/>
  <c r="C85" i="4"/>
  <c r="B85" i="4"/>
  <c r="G84" i="4"/>
  <c r="F84" i="4"/>
  <c r="D84" i="4"/>
  <c r="C84" i="4"/>
  <c r="B84" i="4"/>
  <c r="G83" i="4"/>
  <c r="F83" i="4"/>
  <c r="D83" i="4"/>
  <c r="C83" i="4"/>
  <c r="B83" i="4"/>
  <c r="G82" i="4"/>
  <c r="F82" i="4"/>
  <c r="D82" i="4"/>
  <c r="C82" i="4"/>
  <c r="B82" i="4"/>
  <c r="F81" i="4"/>
  <c r="D81" i="4"/>
  <c r="C81" i="4"/>
  <c r="B81" i="4"/>
  <c r="F80" i="4"/>
  <c r="D80" i="4"/>
  <c r="C80" i="4"/>
  <c r="B80" i="4"/>
  <c r="G79" i="4"/>
  <c r="F79" i="4"/>
  <c r="D79" i="4"/>
  <c r="C79" i="4"/>
  <c r="B79" i="4"/>
  <c r="G78" i="4"/>
  <c r="F78" i="4"/>
  <c r="D78" i="4"/>
  <c r="C78" i="4"/>
  <c r="B78" i="4"/>
  <c r="G77" i="4"/>
  <c r="F77" i="4"/>
  <c r="D77" i="4"/>
  <c r="C77" i="4"/>
  <c r="B77" i="4"/>
  <c r="G76" i="4"/>
  <c r="F76" i="4"/>
  <c r="D76" i="4"/>
  <c r="C76" i="4"/>
  <c r="B76" i="4"/>
  <c r="G75" i="4"/>
  <c r="F75" i="4"/>
  <c r="D75" i="4"/>
  <c r="C75" i="4"/>
  <c r="B75" i="4"/>
  <c r="F74" i="4"/>
  <c r="D74" i="4"/>
  <c r="C74" i="4"/>
  <c r="B74" i="4"/>
  <c r="F73" i="4"/>
  <c r="D73" i="4"/>
  <c r="C73" i="4"/>
  <c r="B73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A22" i="4"/>
  <c r="L22" i="4" s="1"/>
  <c r="A21" i="4"/>
  <c r="L21" i="4" s="1"/>
  <c r="A20" i="4"/>
  <c r="L20" i="4" s="1"/>
  <c r="A19" i="4"/>
  <c r="A18" i="4"/>
  <c r="L18" i="4" s="1"/>
  <c r="A16" i="4"/>
  <c r="G81" i="4"/>
  <c r="G80" i="4"/>
  <c r="G74" i="4"/>
  <c r="G73" i="4"/>
  <c r="A3" i="4"/>
  <c r="L3" i="4" s="1"/>
  <c r="D101" i="2"/>
  <c r="D100" i="2"/>
  <c r="E29" i="2"/>
  <c r="A52" i="2"/>
  <c r="B105" i="2"/>
  <c r="B104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G112" i="2"/>
  <c r="BF112" i="2"/>
  <c r="BE112" i="2"/>
  <c r="BD112" i="2"/>
  <c r="BC112" i="2"/>
  <c r="BB112" i="2"/>
  <c r="BA112" i="2"/>
  <c r="AZ112" i="2"/>
  <c r="AY112" i="2"/>
  <c r="AX112" i="2"/>
  <c r="AW112" i="2"/>
  <c r="AV112" i="2"/>
  <c r="AU112" i="2"/>
  <c r="AT112" i="2"/>
  <c r="AS112" i="2"/>
  <c r="AR112" i="2"/>
  <c r="AQ112" i="2"/>
  <c r="AP112" i="2"/>
  <c r="AO112" i="2"/>
  <c r="AN112" i="2"/>
  <c r="AM112" i="2"/>
  <c r="AL112" i="2"/>
  <c r="AK112" i="2"/>
  <c r="AJ112" i="2"/>
  <c r="AI112" i="2"/>
  <c r="AH112" i="2"/>
  <c r="AG112" i="2"/>
  <c r="AF112" i="2"/>
  <c r="AE112" i="2"/>
  <c r="AD112" i="2"/>
  <c r="AC112" i="2"/>
  <c r="AB112" i="2"/>
  <c r="AA112" i="2"/>
  <c r="Z112" i="2"/>
  <c r="Y112" i="2"/>
  <c r="X112" i="2"/>
  <c r="W112" i="2"/>
  <c r="V112" i="2"/>
  <c r="U112" i="2"/>
  <c r="T112" i="2"/>
  <c r="S112" i="2"/>
  <c r="R112" i="2"/>
  <c r="Q112" i="2"/>
  <c r="P112" i="2"/>
  <c r="O112" i="2"/>
  <c r="N112" i="2"/>
  <c r="M112" i="2"/>
  <c r="L112" i="2"/>
  <c r="K112" i="2"/>
  <c r="J112" i="2"/>
  <c r="I112" i="2"/>
  <c r="H112" i="2"/>
  <c r="G112" i="2"/>
  <c r="F112" i="2"/>
  <c r="E112" i="2"/>
  <c r="D112" i="2"/>
  <c r="C112" i="2"/>
  <c r="B112" i="2"/>
  <c r="B185" i="2"/>
  <c r="B184" i="2"/>
  <c r="B183" i="2"/>
  <c r="B168" i="2"/>
  <c r="B167" i="2"/>
  <c r="B166" i="2"/>
  <c r="B151" i="2"/>
  <c r="B150" i="2"/>
  <c r="B149" i="2"/>
  <c r="B131" i="2"/>
  <c r="B132" i="2"/>
  <c r="B133" i="2"/>
  <c r="AY128" i="2"/>
  <c r="AW128" i="2"/>
  <c r="AT128" i="2"/>
  <c r="AS128" i="2"/>
  <c r="AP128" i="2"/>
  <c r="AM128" i="2"/>
  <c r="AL128" i="2"/>
  <c r="AI125" i="2"/>
  <c r="AI126" i="2" s="1"/>
  <c r="AI127" i="2" s="1"/>
  <c r="AI128" i="2" s="1"/>
  <c r="AJ125" i="2"/>
  <c r="AJ126" i="2" s="1"/>
  <c r="AJ127" i="2" s="1"/>
  <c r="AJ128" i="2" s="1"/>
  <c r="AE120" i="2"/>
  <c r="AE121" i="2" s="1"/>
  <c r="AE122" i="2" s="1"/>
  <c r="AE123" i="2" s="1"/>
  <c r="AE124" i="2" s="1"/>
  <c r="AE125" i="2" s="1"/>
  <c r="AE126" i="2" s="1"/>
  <c r="AE127" i="2" s="1"/>
  <c r="AE128" i="2" s="1"/>
  <c r="AF120" i="2"/>
  <c r="AF121" i="2" s="1"/>
  <c r="AF122" i="2" s="1"/>
  <c r="AF123" i="2" s="1"/>
  <c r="AF124" i="2" s="1"/>
  <c r="AF125" i="2" s="1"/>
  <c r="AF126" i="2" s="1"/>
  <c r="AF127" i="2" s="1"/>
  <c r="AF128" i="2" s="1"/>
  <c r="AG120" i="2"/>
  <c r="AG121" i="2" s="1"/>
  <c r="AG122" i="2" s="1"/>
  <c r="AG123" i="2" s="1"/>
  <c r="AG124" i="2" s="1"/>
  <c r="AG125" i="2" s="1"/>
  <c r="AG126" i="2" s="1"/>
  <c r="AG127" i="2" s="1"/>
  <c r="AG128" i="2" s="1"/>
  <c r="AH120" i="2"/>
  <c r="AH121" i="2" s="1"/>
  <c r="AH122" i="2" s="1"/>
  <c r="AH123" i="2" s="1"/>
  <c r="AH124" i="2" s="1"/>
  <c r="AH125" i="2" s="1"/>
  <c r="AH126" i="2" s="1"/>
  <c r="AH127" i="2" s="1"/>
  <c r="AH128" i="2" s="1"/>
  <c r="AD120" i="2"/>
  <c r="AD121" i="2" s="1"/>
  <c r="AD122" i="2" s="1"/>
  <c r="AD123" i="2" s="1"/>
  <c r="AD124" i="2" s="1"/>
  <c r="AD125" i="2" s="1"/>
  <c r="AD126" i="2" s="1"/>
  <c r="AD127" i="2" s="1"/>
  <c r="AD128" i="2" s="1"/>
  <c r="BE114" i="2"/>
  <c r="BE115" i="2"/>
  <c r="BE116" i="2"/>
  <c r="BE117" i="2"/>
  <c r="BE118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 s="1"/>
  <c r="AD113" i="2"/>
  <c r="B51" i="2" a="1"/>
  <c r="B103" i="2"/>
  <c r="B102" i="2"/>
  <c r="B101" i="2"/>
  <c r="B100" i="2"/>
  <c r="B99" i="2"/>
  <c r="B98" i="2"/>
  <c r="B97" i="2"/>
  <c r="B96" i="2"/>
  <c r="B95" i="2"/>
  <c r="B93" i="2"/>
  <c r="B92" i="2"/>
  <c r="B91" i="2"/>
  <c r="B90" i="2"/>
  <c r="B94" i="2"/>
  <c r="A77" i="2"/>
  <c r="A78" i="2"/>
  <c r="B75" i="2" a="1"/>
  <c r="A76" i="2"/>
  <c r="I31" i="2"/>
  <c r="I29" i="2"/>
  <c r="I28" i="2"/>
  <c r="L16" i="4" l="1"/>
  <c r="A17" i="4"/>
  <c r="K147" i="4"/>
  <c r="L147" i="4" s="1"/>
  <c r="K143" i="4"/>
  <c r="L143" i="4" s="1"/>
  <c r="L19" i="4"/>
  <c r="A89" i="4"/>
  <c r="K17" i="4"/>
  <c r="L17" i="4"/>
  <c r="A141" i="4"/>
  <c r="L141" i="4" s="1"/>
  <c r="A116" i="4"/>
  <c r="A68" i="4"/>
  <c r="K22" i="4"/>
  <c r="A46" i="4"/>
  <c r="K46" i="4" s="1"/>
  <c r="A92" i="4"/>
  <c r="H92" i="4" s="1"/>
  <c r="A115" i="4"/>
  <c r="A140" i="4"/>
  <c r="L140" i="4" s="1"/>
  <c r="A45" i="4"/>
  <c r="K45" i="4" s="1"/>
  <c r="A91" i="4"/>
  <c r="H91" i="4" s="1"/>
  <c r="K21" i="4"/>
  <c r="A67" i="4"/>
  <c r="A139" i="4"/>
  <c r="L139" i="4" s="1"/>
  <c r="K20" i="4"/>
  <c r="A44" i="4"/>
  <c r="K44" i="4" s="1"/>
  <c r="A66" i="4"/>
  <c r="A114" i="4"/>
  <c r="A90" i="4"/>
  <c r="H90" i="4" s="1"/>
  <c r="A138" i="4"/>
  <c r="L138" i="4" s="1"/>
  <c r="A65" i="4"/>
  <c r="A113" i="4"/>
  <c r="A43" i="4"/>
  <c r="K43" i="4" s="1"/>
  <c r="K19" i="4"/>
  <c r="A112" i="4"/>
  <c r="A137" i="4"/>
  <c r="L137" i="4" s="1"/>
  <c r="A88" i="4"/>
  <c r="H88" i="4" s="1"/>
  <c r="A42" i="4"/>
  <c r="K42" i="4" s="1"/>
  <c r="K18" i="4"/>
  <c r="A64" i="4"/>
  <c r="A136" i="4"/>
  <c r="A111" i="4"/>
  <c r="A87" i="4"/>
  <c r="A63" i="4"/>
  <c r="A41" i="4"/>
  <c r="A135" i="4"/>
  <c r="A40" i="4"/>
  <c r="A86" i="4"/>
  <c r="A110" i="4"/>
  <c r="A62" i="4"/>
  <c r="K16" i="4"/>
  <c r="A49" i="4"/>
  <c r="A27" i="4"/>
  <c r="A97" i="4"/>
  <c r="A73" i="4"/>
  <c r="A4" i="4"/>
  <c r="L4" i="4" s="1"/>
  <c r="K3" i="4"/>
  <c r="A122" i="4"/>
  <c r="E30" i="2"/>
  <c r="A53" i="2"/>
  <c r="B51" i="2"/>
  <c r="D51" i="2"/>
  <c r="E51" i="2"/>
  <c r="F51" i="2"/>
  <c r="I51" i="2"/>
  <c r="C51" i="2"/>
  <c r="G51" i="2"/>
  <c r="H51" i="2"/>
  <c r="J51" i="2"/>
  <c r="B75" i="2"/>
  <c r="C75" i="2"/>
  <c r="D75" i="2"/>
  <c r="K89" i="4" l="1"/>
  <c r="L89" i="4"/>
  <c r="I89" i="4"/>
  <c r="J89" i="4"/>
  <c r="H89" i="4"/>
  <c r="E89" i="4"/>
  <c r="K116" i="4"/>
  <c r="L116" i="4"/>
  <c r="G116" i="4"/>
  <c r="I116" i="4"/>
  <c r="J68" i="4"/>
  <c r="K68" i="4"/>
  <c r="I115" i="4"/>
  <c r="K115" i="4"/>
  <c r="L115" i="4"/>
  <c r="G115" i="4"/>
  <c r="J67" i="4"/>
  <c r="K67" i="4"/>
  <c r="J66" i="4"/>
  <c r="K66" i="4"/>
  <c r="L114" i="4"/>
  <c r="K114" i="4"/>
  <c r="G114" i="4"/>
  <c r="I114" i="4"/>
  <c r="K65" i="4"/>
  <c r="J65" i="4"/>
  <c r="K113" i="4"/>
  <c r="I113" i="4"/>
  <c r="L113" i="4"/>
  <c r="G113" i="4"/>
  <c r="G112" i="4"/>
  <c r="K112" i="4"/>
  <c r="I112" i="4"/>
  <c r="L112" i="4"/>
  <c r="J64" i="4"/>
  <c r="K64" i="4"/>
  <c r="I141" i="4"/>
  <c r="D141" i="4"/>
  <c r="F141" i="4"/>
  <c r="E141" i="4"/>
  <c r="H141" i="4"/>
  <c r="J141" i="4"/>
  <c r="D116" i="4"/>
  <c r="H116" i="4"/>
  <c r="J116" i="4"/>
  <c r="K141" i="4"/>
  <c r="C68" i="4"/>
  <c r="D68" i="4"/>
  <c r="E68" i="4"/>
  <c r="F68" i="4"/>
  <c r="G68" i="4"/>
  <c r="H68" i="4"/>
  <c r="I68" i="4"/>
  <c r="L68" i="4"/>
  <c r="C46" i="4"/>
  <c r="L46" i="4"/>
  <c r="E92" i="4"/>
  <c r="I92" i="4"/>
  <c r="J92" i="4"/>
  <c r="K92" i="4"/>
  <c r="L92" i="4"/>
  <c r="K140" i="4"/>
  <c r="H115" i="4"/>
  <c r="D115" i="4"/>
  <c r="J115" i="4"/>
  <c r="J140" i="4"/>
  <c r="I140" i="4"/>
  <c r="F140" i="4"/>
  <c r="E140" i="4"/>
  <c r="H140" i="4"/>
  <c r="D140" i="4"/>
  <c r="C45" i="4"/>
  <c r="L45" i="4"/>
  <c r="E91" i="4"/>
  <c r="I91" i="4"/>
  <c r="J91" i="4"/>
  <c r="K91" i="4"/>
  <c r="L91" i="4"/>
  <c r="C67" i="4"/>
  <c r="D67" i="4"/>
  <c r="E67" i="4"/>
  <c r="F67" i="4"/>
  <c r="G67" i="4"/>
  <c r="H67" i="4"/>
  <c r="I67" i="4"/>
  <c r="L67" i="4"/>
  <c r="D139" i="4"/>
  <c r="I139" i="4"/>
  <c r="H139" i="4"/>
  <c r="F139" i="4"/>
  <c r="E139" i="4"/>
  <c r="C44" i="4"/>
  <c r="L44" i="4"/>
  <c r="C66" i="4"/>
  <c r="D66" i="4"/>
  <c r="E66" i="4"/>
  <c r="F66" i="4"/>
  <c r="G66" i="4"/>
  <c r="H66" i="4"/>
  <c r="I66" i="4"/>
  <c r="L66" i="4"/>
  <c r="H114" i="4"/>
  <c r="J139" i="4"/>
  <c r="J114" i="4"/>
  <c r="D114" i="4"/>
  <c r="K139" i="4"/>
  <c r="E90" i="4"/>
  <c r="I90" i="4"/>
  <c r="J90" i="4"/>
  <c r="K90" i="4"/>
  <c r="L90" i="4"/>
  <c r="E138" i="4"/>
  <c r="D138" i="4"/>
  <c r="H138" i="4"/>
  <c r="I138" i="4"/>
  <c r="F138" i="4"/>
  <c r="C65" i="4"/>
  <c r="D65" i="4"/>
  <c r="E65" i="4"/>
  <c r="F65" i="4"/>
  <c r="G65" i="4"/>
  <c r="H65" i="4"/>
  <c r="I65" i="4"/>
  <c r="L65" i="4"/>
  <c r="H113" i="4"/>
  <c r="D113" i="4"/>
  <c r="K138" i="4"/>
  <c r="J113" i="4"/>
  <c r="J138" i="4"/>
  <c r="C43" i="4"/>
  <c r="L43" i="4"/>
  <c r="H112" i="4"/>
  <c r="J137" i="4"/>
  <c r="D112" i="4"/>
  <c r="J112" i="4"/>
  <c r="K137" i="4"/>
  <c r="F137" i="4"/>
  <c r="H137" i="4"/>
  <c r="D137" i="4"/>
  <c r="E137" i="4"/>
  <c r="I137" i="4"/>
  <c r="E88" i="4"/>
  <c r="I88" i="4"/>
  <c r="J88" i="4"/>
  <c r="K88" i="4"/>
  <c r="L88" i="4"/>
  <c r="C42" i="4"/>
  <c r="L42" i="4"/>
  <c r="C64" i="4"/>
  <c r="D64" i="4"/>
  <c r="E64" i="4"/>
  <c r="F64" i="4"/>
  <c r="G64" i="4"/>
  <c r="H64" i="4"/>
  <c r="I64" i="4"/>
  <c r="L64" i="4"/>
  <c r="D136" i="4"/>
  <c r="E136" i="4"/>
  <c r="H136" i="4"/>
  <c r="D111" i="4"/>
  <c r="H111" i="4" s="1"/>
  <c r="J111" i="4"/>
  <c r="E87" i="4"/>
  <c r="H87" i="4" s="1"/>
  <c r="G111" i="4" s="1"/>
  <c r="I111" i="4" s="1"/>
  <c r="J87" i="4"/>
  <c r="K87" i="4"/>
  <c r="C63" i="4"/>
  <c r="E63" i="4"/>
  <c r="F63" i="4"/>
  <c r="G63" i="4"/>
  <c r="H63" i="4"/>
  <c r="I87" i="4" s="1"/>
  <c r="I63" i="4"/>
  <c r="L63" i="4"/>
  <c r="C41" i="4"/>
  <c r="D63" i="4" s="1"/>
  <c r="D135" i="4"/>
  <c r="H135" i="4"/>
  <c r="E135" i="4"/>
  <c r="C40" i="4"/>
  <c r="D62" i="4" s="1"/>
  <c r="E86" i="4"/>
  <c r="H86" i="4" s="1"/>
  <c r="G110" i="4" s="1"/>
  <c r="I110" i="4" s="1"/>
  <c r="J86" i="4"/>
  <c r="K86" i="4" s="1"/>
  <c r="D110" i="4"/>
  <c r="H110" i="4" s="1"/>
  <c r="J110" i="4"/>
  <c r="C62" i="4"/>
  <c r="E62" i="4"/>
  <c r="F62" i="4"/>
  <c r="G62" i="4"/>
  <c r="H62" i="4"/>
  <c r="I86" i="4" s="1"/>
  <c r="I62" i="4"/>
  <c r="L62" i="4"/>
  <c r="C49" i="4"/>
  <c r="E49" i="4"/>
  <c r="F49" i="4"/>
  <c r="G49" i="4"/>
  <c r="H49" i="4"/>
  <c r="I49" i="4"/>
  <c r="L49" i="4"/>
  <c r="C27" i="4"/>
  <c r="D49" i="4" s="1"/>
  <c r="D97" i="4"/>
  <c r="H97" i="4" s="1"/>
  <c r="J97" i="4"/>
  <c r="E73" i="4"/>
  <c r="H73" i="4" s="1"/>
  <c r="G97" i="4" s="1"/>
  <c r="I97" i="4" s="1"/>
  <c r="J73" i="4"/>
  <c r="K73" i="4" s="1"/>
  <c r="A123" i="4"/>
  <c r="A5" i="4"/>
  <c r="L5" i="4" s="1"/>
  <c r="K4" i="4"/>
  <c r="A28" i="4"/>
  <c r="A50" i="4"/>
  <c r="A74" i="4"/>
  <c r="A98" i="4"/>
  <c r="H122" i="4"/>
  <c r="E122" i="4"/>
  <c r="D122" i="4"/>
  <c r="A54" i="2"/>
  <c r="E31" i="2"/>
  <c r="L86" i="4" l="1"/>
  <c r="J62" i="4"/>
  <c r="K62" i="4" s="1"/>
  <c r="L87" i="4"/>
  <c r="F135" i="4"/>
  <c r="I135" i="4" s="1"/>
  <c r="J63" i="4"/>
  <c r="K63" i="4" s="1"/>
  <c r="F136" i="4"/>
  <c r="I136" i="4" s="1"/>
  <c r="L111" i="4"/>
  <c r="K111" i="4"/>
  <c r="K110" i="4"/>
  <c r="L110" i="4"/>
  <c r="I73" i="4"/>
  <c r="L73" i="4" s="1"/>
  <c r="K97" i="4"/>
  <c r="L97" i="4"/>
  <c r="J49" i="4"/>
  <c r="K49" i="4" s="1"/>
  <c r="F122" i="4"/>
  <c r="D123" i="4"/>
  <c r="E123" i="4"/>
  <c r="H123" i="4"/>
  <c r="A51" i="4"/>
  <c r="A29" i="4"/>
  <c r="A75" i="4"/>
  <c r="A99" i="4"/>
  <c r="K5" i="4"/>
  <c r="A124" i="4"/>
  <c r="A6" i="4"/>
  <c r="L6" i="4" s="1"/>
  <c r="C28" i="4"/>
  <c r="D50" i="4" s="1"/>
  <c r="C50" i="4"/>
  <c r="E50" i="4"/>
  <c r="F50" i="4"/>
  <c r="G50" i="4"/>
  <c r="H50" i="4"/>
  <c r="I50" i="4"/>
  <c r="L50" i="4"/>
  <c r="E74" i="4"/>
  <c r="H74" i="4" s="1"/>
  <c r="G98" i="4" s="1"/>
  <c r="J74" i="4"/>
  <c r="K74" i="4" s="1"/>
  <c r="D98" i="4"/>
  <c r="H98" i="4" s="1"/>
  <c r="J98" i="4"/>
  <c r="A55" i="2"/>
  <c r="E32" i="2"/>
  <c r="K98" i="4" l="1"/>
  <c r="K136" i="4"/>
  <c r="J136" i="4"/>
  <c r="K40" i="4"/>
  <c r="L40" i="4"/>
  <c r="K41" i="4"/>
  <c r="L41" i="4"/>
  <c r="K135" i="4"/>
  <c r="J135" i="4"/>
  <c r="I98" i="4"/>
  <c r="L98" i="4"/>
  <c r="I122" i="4"/>
  <c r="J50" i="4"/>
  <c r="K50" i="4" s="1"/>
  <c r="K27" i="4"/>
  <c r="L27" i="4"/>
  <c r="I74" i="4"/>
  <c r="L74" i="4" s="1"/>
  <c r="F123" i="4"/>
  <c r="C51" i="4"/>
  <c r="E51" i="4"/>
  <c r="F51" i="4"/>
  <c r="G51" i="4"/>
  <c r="H51" i="4"/>
  <c r="I51" i="4"/>
  <c r="L51" i="4"/>
  <c r="C29" i="4"/>
  <c r="D51" i="4" s="1"/>
  <c r="E75" i="4"/>
  <c r="H75" i="4" s="1"/>
  <c r="G99" i="4" s="1"/>
  <c r="J75" i="4"/>
  <c r="K75" i="4" s="1"/>
  <c r="D99" i="4"/>
  <c r="H99" i="4" s="1"/>
  <c r="J99" i="4"/>
  <c r="D124" i="4"/>
  <c r="E124" i="4"/>
  <c r="H124" i="4"/>
  <c r="K6" i="4"/>
  <c r="A30" i="4"/>
  <c r="A52" i="4"/>
  <c r="A7" i="4"/>
  <c r="L7" i="4" s="1"/>
  <c r="A76" i="4"/>
  <c r="A100" i="4"/>
  <c r="A125" i="4"/>
  <c r="A56" i="2"/>
  <c r="E33" i="2"/>
  <c r="J122" i="4" l="1"/>
  <c r="K122" i="4"/>
  <c r="L122" i="4" s="1"/>
  <c r="L136" i="4"/>
  <c r="L135" i="4"/>
  <c r="K99" i="4"/>
  <c r="I99" i="4"/>
  <c r="L99" i="4"/>
  <c r="I123" i="4"/>
  <c r="K28" i="4"/>
  <c r="L28" i="4"/>
  <c r="J51" i="4"/>
  <c r="K51" i="4" s="1"/>
  <c r="F124" i="4"/>
  <c r="I75" i="4"/>
  <c r="L75" i="4" s="1"/>
  <c r="C30" i="4"/>
  <c r="D52" i="4" s="1"/>
  <c r="C52" i="4"/>
  <c r="E52" i="4"/>
  <c r="F52" i="4"/>
  <c r="G52" i="4"/>
  <c r="H52" i="4"/>
  <c r="I52" i="4"/>
  <c r="L52" i="4"/>
  <c r="K7" i="4"/>
  <c r="A53" i="4"/>
  <c r="A8" i="4"/>
  <c r="L8" i="4" s="1"/>
  <c r="A77" i="4"/>
  <c r="A101" i="4"/>
  <c r="A126" i="4"/>
  <c r="A31" i="4"/>
  <c r="E76" i="4"/>
  <c r="H76" i="4" s="1"/>
  <c r="G100" i="4" s="1"/>
  <c r="J76" i="4"/>
  <c r="K76" i="4" s="1"/>
  <c r="D100" i="4"/>
  <c r="H100" i="4" s="1"/>
  <c r="J100" i="4"/>
  <c r="D125" i="4"/>
  <c r="E125" i="4"/>
  <c r="H125" i="4"/>
  <c r="A57" i="2"/>
  <c r="E34" i="2"/>
  <c r="K100" i="4" l="1"/>
  <c r="K123" i="4"/>
  <c r="J123" i="4"/>
  <c r="I100" i="4"/>
  <c r="L100" i="4"/>
  <c r="I124" i="4"/>
  <c r="K29" i="4"/>
  <c r="L29" i="4"/>
  <c r="J52" i="4"/>
  <c r="K52" i="4" s="1"/>
  <c r="F125" i="4"/>
  <c r="I76" i="4"/>
  <c r="L76" i="4" s="1"/>
  <c r="C53" i="4"/>
  <c r="E53" i="4"/>
  <c r="F53" i="4"/>
  <c r="G53" i="4"/>
  <c r="H53" i="4"/>
  <c r="I53" i="4"/>
  <c r="L53" i="4"/>
  <c r="K8" i="4"/>
  <c r="A78" i="4"/>
  <c r="A102" i="4"/>
  <c r="A127" i="4"/>
  <c r="A9" i="4"/>
  <c r="L9" i="4" s="1"/>
  <c r="A32" i="4"/>
  <c r="A54" i="4"/>
  <c r="E77" i="4"/>
  <c r="H77" i="4" s="1"/>
  <c r="G101" i="4" s="1"/>
  <c r="J77" i="4"/>
  <c r="K77" i="4" s="1"/>
  <c r="D101" i="4"/>
  <c r="H101" i="4" s="1"/>
  <c r="J101" i="4"/>
  <c r="D126" i="4"/>
  <c r="H126" i="4"/>
  <c r="E126" i="4"/>
  <c r="C31" i="4"/>
  <c r="D53" i="4" s="1"/>
  <c r="A58" i="2"/>
  <c r="E35" i="2"/>
  <c r="L123" i="4" l="1"/>
  <c r="K101" i="4"/>
  <c r="K124" i="4"/>
  <c r="J124" i="4"/>
  <c r="I101" i="4"/>
  <c r="L101" i="4"/>
  <c r="I125" i="4"/>
  <c r="J53" i="4"/>
  <c r="K53" i="4" s="1"/>
  <c r="K30" i="4"/>
  <c r="L30" i="4"/>
  <c r="I77" i="4"/>
  <c r="L77" i="4" s="1"/>
  <c r="F126" i="4"/>
  <c r="E78" i="4"/>
  <c r="H78" i="4" s="1"/>
  <c r="G102" i="4" s="1"/>
  <c r="J78" i="4"/>
  <c r="K78" i="4" s="1"/>
  <c r="J102" i="4"/>
  <c r="D102" i="4"/>
  <c r="H102" i="4" s="1"/>
  <c r="D127" i="4"/>
  <c r="E127" i="4"/>
  <c r="H127" i="4"/>
  <c r="K9" i="4"/>
  <c r="A33" i="4"/>
  <c r="A55" i="4"/>
  <c r="A10" i="4"/>
  <c r="L10" i="4" s="1"/>
  <c r="A79" i="4"/>
  <c r="A128" i="4"/>
  <c r="A103" i="4"/>
  <c r="C32" i="4"/>
  <c r="D54" i="4" s="1"/>
  <c r="C54" i="4"/>
  <c r="E54" i="4"/>
  <c r="F54" i="4"/>
  <c r="G54" i="4"/>
  <c r="H54" i="4"/>
  <c r="I54" i="4"/>
  <c r="L54" i="4"/>
  <c r="A59" i="2"/>
  <c r="E36" i="2"/>
  <c r="F127" i="4" l="1"/>
  <c r="I127" i="4" s="1"/>
  <c r="I78" i="4"/>
  <c r="L78" i="4" s="1"/>
  <c r="L124" i="4"/>
  <c r="K125" i="4"/>
  <c r="J125" i="4"/>
  <c r="I102" i="4"/>
  <c r="K102" i="4"/>
  <c r="L102" i="4"/>
  <c r="I126" i="4"/>
  <c r="J54" i="4"/>
  <c r="K54" i="4" s="1"/>
  <c r="L31" i="4"/>
  <c r="K31" i="4"/>
  <c r="C33" i="4"/>
  <c r="D55" i="4" s="1"/>
  <c r="C55" i="4"/>
  <c r="E55" i="4"/>
  <c r="F55" i="4"/>
  <c r="G55" i="4"/>
  <c r="H55" i="4"/>
  <c r="I55" i="4"/>
  <c r="L55" i="4"/>
  <c r="A80" i="4"/>
  <c r="A129" i="4"/>
  <c r="A104" i="4"/>
  <c r="K10" i="4"/>
  <c r="A34" i="4"/>
  <c r="A11" i="4"/>
  <c r="A56" i="4"/>
  <c r="E79" i="4"/>
  <c r="H79" i="4" s="1"/>
  <c r="G103" i="4" s="1"/>
  <c r="J79" i="4"/>
  <c r="K79" i="4" s="1"/>
  <c r="E128" i="4"/>
  <c r="H128" i="4"/>
  <c r="D128" i="4"/>
  <c r="D103" i="4"/>
  <c r="H103" i="4" s="1"/>
  <c r="J103" i="4"/>
  <c r="A60" i="2"/>
  <c r="E37" i="2"/>
  <c r="F128" i="4" l="1"/>
  <c r="I128" i="4" s="1"/>
  <c r="L11" i="4"/>
  <c r="A12" i="4"/>
  <c r="K103" i="4"/>
  <c r="K126" i="4"/>
  <c r="J126" i="4"/>
  <c r="K32" i="4"/>
  <c r="L32" i="4"/>
  <c r="L125" i="4"/>
  <c r="I103" i="4"/>
  <c r="L103" i="4"/>
  <c r="J55" i="4"/>
  <c r="K55" i="4" s="1"/>
  <c r="I79" i="4"/>
  <c r="L79" i="4" s="1"/>
  <c r="E80" i="4"/>
  <c r="H80" i="4" s="1"/>
  <c r="G104" i="4" s="1"/>
  <c r="J80" i="4"/>
  <c r="K80" i="4" s="1"/>
  <c r="E129" i="4"/>
  <c r="H129" i="4"/>
  <c r="D129" i="4"/>
  <c r="D104" i="4"/>
  <c r="H104" i="4" s="1"/>
  <c r="J104" i="4"/>
  <c r="C34" i="4"/>
  <c r="D56" i="4" s="1"/>
  <c r="A35" i="4"/>
  <c r="A57" i="4"/>
  <c r="A130" i="4"/>
  <c r="A81" i="4"/>
  <c r="A105" i="4"/>
  <c r="K11" i="4"/>
  <c r="C56" i="4"/>
  <c r="E56" i="4"/>
  <c r="F56" i="4"/>
  <c r="G56" i="4"/>
  <c r="H56" i="4"/>
  <c r="I56" i="4"/>
  <c r="L56" i="4"/>
  <c r="J127" i="4"/>
  <c r="K127" i="4"/>
  <c r="L127" i="4" s="1"/>
  <c r="A61" i="2"/>
  <c r="E38" i="2"/>
  <c r="A106" i="4" l="1"/>
  <c r="A58" i="4"/>
  <c r="K12" i="4"/>
  <c r="A36" i="4"/>
  <c r="A131" i="4"/>
  <c r="A82" i="4"/>
  <c r="A13" i="4"/>
  <c r="L12" i="4"/>
  <c r="K104" i="4"/>
  <c r="L126" i="4"/>
  <c r="J128" i="4"/>
  <c r="K128" i="4"/>
  <c r="L128" i="4" s="1"/>
  <c r="I80" i="4"/>
  <c r="L80" i="4" s="1"/>
  <c r="I104" i="4"/>
  <c r="L104" i="4"/>
  <c r="K33" i="4"/>
  <c r="L33" i="4"/>
  <c r="J56" i="4"/>
  <c r="K56" i="4" s="1"/>
  <c r="F129" i="4"/>
  <c r="C35" i="4"/>
  <c r="D57" i="4" s="1"/>
  <c r="C57" i="4"/>
  <c r="E57" i="4"/>
  <c r="F57" i="4"/>
  <c r="G57" i="4"/>
  <c r="H57" i="4"/>
  <c r="I57" i="4"/>
  <c r="L57" i="4"/>
  <c r="D130" i="4"/>
  <c r="E130" i="4"/>
  <c r="H130" i="4"/>
  <c r="E81" i="4"/>
  <c r="H81" i="4" s="1"/>
  <c r="G105" i="4" s="1"/>
  <c r="J81" i="4"/>
  <c r="K81" i="4" s="1"/>
  <c r="D105" i="4"/>
  <c r="H105" i="4" s="1"/>
  <c r="J105" i="4"/>
  <c r="A62" i="2"/>
  <c r="E39" i="2"/>
  <c r="J106" i="4" l="1"/>
  <c r="D106" i="4"/>
  <c r="H106" i="4" s="1"/>
  <c r="L58" i="4"/>
  <c r="I58" i="4"/>
  <c r="H58" i="4"/>
  <c r="I82" i="4" s="1"/>
  <c r="G58" i="4"/>
  <c r="F58" i="4"/>
  <c r="E58" i="4"/>
  <c r="C58" i="4"/>
  <c r="C36" i="4"/>
  <c r="D58" i="4" s="1"/>
  <c r="H131" i="4"/>
  <c r="E131" i="4"/>
  <c r="D131" i="4"/>
  <c r="J82" i="4"/>
  <c r="K82" i="4" s="1"/>
  <c r="E82" i="4"/>
  <c r="H82" i="4"/>
  <c r="G106" i="4" s="1"/>
  <c r="I106" i="4" s="1"/>
  <c r="A107" i="4"/>
  <c r="A132" i="4"/>
  <c r="A83" i="4"/>
  <c r="A59" i="4"/>
  <c r="K13" i="4"/>
  <c r="A37" i="4"/>
  <c r="A14" i="4"/>
  <c r="L13" i="4"/>
  <c r="K105" i="4"/>
  <c r="I81" i="4"/>
  <c r="L81" i="4" s="1"/>
  <c r="I105" i="4"/>
  <c r="L105" i="4"/>
  <c r="I129" i="4"/>
  <c r="J57" i="4"/>
  <c r="K57" i="4" s="1"/>
  <c r="K34" i="4"/>
  <c r="L34" i="4"/>
  <c r="F130" i="4"/>
  <c r="A63" i="2"/>
  <c r="E40" i="2"/>
  <c r="F131" i="4" l="1"/>
  <c r="I131" i="4" s="1"/>
  <c r="J58" i="4"/>
  <c r="K58" i="4" s="1"/>
  <c r="L82" i="4"/>
  <c r="J107" i="4"/>
  <c r="D107" i="4"/>
  <c r="H107" i="4" s="1"/>
  <c r="H132" i="4"/>
  <c r="E132" i="4"/>
  <c r="D132" i="4"/>
  <c r="F132" i="4" s="1"/>
  <c r="J83" i="4"/>
  <c r="K83" i="4" s="1"/>
  <c r="E83" i="4"/>
  <c r="H83" i="4"/>
  <c r="G107" i="4" s="1"/>
  <c r="I107" i="4" s="1"/>
  <c r="L59" i="4"/>
  <c r="I59" i="4"/>
  <c r="H59" i="4"/>
  <c r="G59" i="4"/>
  <c r="F59" i="4"/>
  <c r="E59" i="4"/>
  <c r="C59" i="4"/>
  <c r="C37" i="4"/>
  <c r="D59" i="4" s="1"/>
  <c r="A38" i="4"/>
  <c r="A60" i="4"/>
  <c r="A133" i="4"/>
  <c r="A84" i="4"/>
  <c r="K14" i="4"/>
  <c r="A108" i="4"/>
  <c r="A15" i="4"/>
  <c r="L14" i="4"/>
  <c r="L106" i="4"/>
  <c r="K106" i="4"/>
  <c r="J129" i="4"/>
  <c r="K129" i="4"/>
  <c r="I130" i="4"/>
  <c r="K35" i="4"/>
  <c r="L35" i="4"/>
  <c r="A64" i="2"/>
  <c r="E41" i="2"/>
  <c r="I83" i="4" l="1"/>
  <c r="L83" i="4" s="1"/>
  <c r="K36" i="4"/>
  <c r="L36" i="4"/>
  <c r="J59" i="4"/>
  <c r="K59" i="4" s="1"/>
  <c r="C38" i="4"/>
  <c r="D60" i="4" s="1"/>
  <c r="L60" i="4"/>
  <c r="H60" i="4"/>
  <c r="I84" i="4" s="1"/>
  <c r="C60" i="4"/>
  <c r="G60" i="4"/>
  <c r="F60" i="4"/>
  <c r="I60" i="4"/>
  <c r="E60" i="4"/>
  <c r="D133" i="4"/>
  <c r="E133" i="4"/>
  <c r="H133" i="4"/>
  <c r="J84" i="4"/>
  <c r="K84" i="4" s="1"/>
  <c r="E84" i="4"/>
  <c r="H84" i="4" s="1"/>
  <c r="G108" i="4" s="1"/>
  <c r="I108" i="4" s="1"/>
  <c r="J108" i="4"/>
  <c r="D108" i="4"/>
  <c r="H108" i="4" s="1"/>
  <c r="A85" i="4"/>
  <c r="A134" i="4"/>
  <c r="K15" i="4"/>
  <c r="A39" i="4"/>
  <c r="A109" i="4"/>
  <c r="A61" i="4"/>
  <c r="L15" i="4"/>
  <c r="K131" i="4"/>
  <c r="J131" i="4"/>
  <c r="L107" i="4"/>
  <c r="K107" i="4"/>
  <c r="I132" i="4"/>
  <c r="L129" i="4"/>
  <c r="J130" i="4"/>
  <c r="K130" i="4"/>
  <c r="A65" i="2"/>
  <c r="E42" i="2"/>
  <c r="F133" i="4" l="1"/>
  <c r="I133" i="4" s="1"/>
  <c r="K37" i="4"/>
  <c r="L37" i="4"/>
  <c r="J60" i="4"/>
  <c r="K60" i="4" s="1"/>
  <c r="E85" i="4"/>
  <c r="H85" i="4" s="1"/>
  <c r="G109" i="4" s="1"/>
  <c r="I109" i="4" s="1"/>
  <c r="J85" i="4"/>
  <c r="K85" i="4" s="1"/>
  <c r="D134" i="4"/>
  <c r="E134" i="4"/>
  <c r="H134" i="4"/>
  <c r="C39" i="4"/>
  <c r="D109" i="4"/>
  <c r="H109" i="4" s="1"/>
  <c r="J109" i="4"/>
  <c r="G61" i="4"/>
  <c r="C61" i="4"/>
  <c r="I61" i="4"/>
  <c r="E61" i="4"/>
  <c r="F61" i="4"/>
  <c r="L61" i="4"/>
  <c r="H61" i="4"/>
  <c r="D61" i="4"/>
  <c r="K132" i="4"/>
  <c r="J132" i="4"/>
  <c r="L131" i="4"/>
  <c r="L108" i="4"/>
  <c r="K108" i="4"/>
  <c r="L84" i="4"/>
  <c r="L130" i="4"/>
  <c r="A66" i="2"/>
  <c r="E43" i="2"/>
  <c r="F134" i="4" l="1"/>
  <c r="I134" i="4" s="1"/>
  <c r="J61" i="4"/>
  <c r="K61" i="4" s="1"/>
  <c r="I85" i="4"/>
  <c r="L85" i="4" s="1"/>
  <c r="L132" i="4"/>
  <c r="J133" i="4"/>
  <c r="K133" i="4"/>
  <c r="K38" i="4"/>
  <c r="L38" i="4"/>
  <c r="L109" i="4"/>
  <c r="K109" i="4"/>
  <c r="A67" i="2"/>
  <c r="E44" i="2"/>
  <c r="L133" i="4" l="1"/>
  <c r="K134" i="4"/>
  <c r="L134" i="4" s="1"/>
  <c r="J134" i="4"/>
  <c r="K39" i="4"/>
  <c r="L39" i="4"/>
  <c r="A68" i="2"/>
  <c r="E45" i="2"/>
  <c r="A69" i="2" l="1"/>
  <c r="E46" i="2"/>
  <c r="A70" i="2" l="1"/>
  <c r="E47" i="2"/>
  <c r="A71" i="2" l="1"/>
  <c r="E48" i="2"/>
  <c r="A72" i="2" s="1"/>
</calcChain>
</file>

<file path=xl/sharedStrings.xml><?xml version="1.0" encoding="utf-8"?>
<sst xmlns="http://schemas.openxmlformats.org/spreadsheetml/2006/main" count="732" uniqueCount="229">
  <si>
    <t>Nº</t>
  </si>
  <si>
    <t>Tipo de montaje</t>
  </si>
  <si>
    <t>Tipo de aislamiento</t>
  </si>
  <si>
    <t>Material del conductor</t>
  </si>
  <si>
    <t>Exposición a la radiación solar</t>
  </si>
  <si>
    <t>Temperatura del entorno o terreno</t>
  </si>
  <si>
    <t>Tipología acorde al REBT</t>
  </si>
  <si>
    <t>Nº de ternas por cada circuito</t>
  </si>
  <si>
    <t>Factor por temperatura</t>
  </si>
  <si>
    <t>Factor por resistividad</t>
  </si>
  <si>
    <t>Factor por agrupamiento</t>
  </si>
  <si>
    <t>Factor por exposición solar</t>
  </si>
  <si>
    <t>2 - COMPROBACIÓN DE LA CAIDA DE TENSIÓN: DEBE SER MENOR A LA MÁXIMA QUE SE LE PERMITA AL CIRCUITO SEGÚN SU CLASIFICACIÓN</t>
  </si>
  <si>
    <t>XLPE</t>
  </si>
  <si>
    <t>PVC</t>
  </si>
  <si>
    <t>Cobre</t>
  </si>
  <si>
    <t>Aluminio</t>
  </si>
  <si>
    <t>Factor de cortocircuito</t>
  </si>
  <si>
    <t>Longitud ([m])</t>
  </si>
  <si>
    <t>Nº de ternas por cada circuito ([u])</t>
  </si>
  <si>
    <t>Resistividad del terreno ([K·m/W])</t>
  </si>
  <si>
    <t>Zona ATEX
(ITC-BT-29)</t>
  </si>
  <si>
    <t>Tensión
nominal ([V])</t>
  </si>
  <si>
    <t>Intensidad
nominal ([A])</t>
  </si>
  <si>
    <t>Duración del cortocircuito ([s])</t>
  </si>
  <si>
    <t>Cortocircuito admisible ([A])</t>
  </si>
  <si>
    <t>Poder de corte mínimo IGA ([kA])</t>
  </si>
  <si>
    <t>Cortocircuito en
el origen ([A]]</t>
  </si>
  <si>
    <t>Resultados</t>
  </si>
  <si>
    <t>Nº de circuitos agrupados ([u])</t>
  </si>
  <si>
    <t>REFERENCIAS APARTADO 1-A)</t>
  </si>
  <si>
    <t>Factor por radiación solar</t>
  </si>
  <si>
    <t>Factor ATEX</t>
  </si>
  <si>
    <t>SI</t>
  </si>
  <si>
    <t>NO</t>
  </si>
  <si>
    <t>A1</t>
  </si>
  <si>
    <t>A2</t>
  </si>
  <si>
    <t>B1</t>
  </si>
  <si>
    <t>B2</t>
  </si>
  <si>
    <t>C</t>
  </si>
  <si>
    <t>D1</t>
  </si>
  <si>
    <t>D2</t>
  </si>
  <si>
    <t>E</t>
  </si>
  <si>
    <t>F</t>
  </si>
  <si>
    <t>Motor</t>
  </si>
  <si>
    <t>Generador</t>
  </si>
  <si>
    <t>Serie FV</t>
  </si>
  <si>
    <t>Influencia resistividad</t>
  </si>
  <si>
    <t>Influencia radiación</t>
  </si>
  <si>
    <t>Influencia tipo</t>
  </si>
  <si>
    <t>Influencia ATEX</t>
  </si>
  <si>
    <t>Batería</t>
  </si>
  <si>
    <t>Tipología acorde al reglamento</t>
  </si>
  <si>
    <t>Cargador V.E</t>
  </si>
  <si>
    <t>Factor por
REBT - IA</t>
  </si>
  <si>
    <t>Factor por
REBT - ΔV</t>
  </si>
  <si>
    <t>1B - DESGLOSE DE LOS CÁLCULOS DEL CRITERIO TÉRMICO</t>
  </si>
  <si>
    <t>Evaluación
del criterio</t>
  </si>
  <si>
    <t>Factor de ocupación</t>
  </si>
  <si>
    <t>Sección ([mm²])</t>
  </si>
  <si>
    <t>Diámetro de los cables ([mm])</t>
  </si>
  <si>
    <t>Diámetro exterior mínimo del tubo</t>
  </si>
  <si>
    <t>REFERENCIAS APARTADO 0) Y CARACTERÍSTICAS BÁSICAS DE LOS CABLES</t>
  </si>
  <si>
    <t>Temperatura límite de operación</t>
  </si>
  <si>
    <t>Temperatura de
referencia ([ºC])</t>
  </si>
  <si>
    <t>Temperatura del entorno ([ºC])</t>
  </si>
  <si>
    <t>Factor por reglamento</t>
  </si>
  <si>
    <t>Factor por
zona ATEX</t>
  </si>
  <si>
    <t>4 - DIMENSIONES MÍNIMAS RECOMENDADAS PARA LAS CANALIZACIONES DE LOS CIRCUITOS</t>
  </si>
  <si>
    <t>Intensidad admisible ([A])</t>
  </si>
  <si>
    <t>Dimensiones bandeja/canal</t>
  </si>
  <si>
    <t>FACTOR DE CORTOCIRCUITO, PUNTO 3)</t>
  </si>
  <si>
    <t>PdC ([kA])</t>
  </si>
  <si>
    <t>Conductividad a 40 [ºC]</t>
  </si>
  <si>
    <t>Montaje</t>
  </si>
  <si>
    <t>Factor</t>
  </si>
  <si>
    <t>Al aire</t>
  </si>
  <si>
    <t>Subterráneo</t>
  </si>
  <si>
    <t>Empotrado</t>
  </si>
  <si>
    <t>Superficial</t>
  </si>
  <si>
    <t>FACTOR OCUPACIÓN PUNTO 4)</t>
  </si>
  <si>
    <t>Tubos</t>
  </si>
  <si>
    <t>Bandejas</t>
  </si>
  <si>
    <t>Modelos</t>
  </si>
  <si>
    <t>Sección útil</t>
  </si>
  <si>
    <t>OPCIONES CANALIZACIONES, PUNTO 4)</t>
  </si>
  <si>
    <t>FACTOR POR AGRUPAMIENTO, PUNTO 1-B)</t>
  </si>
  <si>
    <t>Aislante</t>
  </si>
  <si>
    <t>Conductor</t>
  </si>
  <si>
    <t>Total</t>
  </si>
  <si>
    <t>Rectificador</t>
  </si>
  <si>
    <t>3 - COMPROBACIÓN POR CORTOCIRCUITO: EL CIRCUITO DEBE PODER SOPORTAR LA INTENSIDAD EN CASO DE CORTOCIRCUITO DURANTE SU DURACIÓN PREVISTA</t>
  </si>
  <si>
    <t>Ø16 [mm]</t>
  </si>
  <si>
    <t>Ø20 [mm]</t>
  </si>
  <si>
    <t>Ø25 [mm]</t>
  </si>
  <si>
    <t>Ø32 [mm]</t>
  </si>
  <si>
    <t>Ø40 [mm]</t>
  </si>
  <si>
    <t>Ø50 [mm]</t>
  </si>
  <si>
    <t>Ø63 [mm]</t>
  </si>
  <si>
    <t>Ø75 [mm]</t>
  </si>
  <si>
    <t>Ø90 [mm]</t>
  </si>
  <si>
    <t>Ø110 [mm]</t>
  </si>
  <si>
    <t>Ø125 [mm]</t>
  </si>
  <si>
    <t>Ø160 [mm]</t>
  </si>
  <si>
    <t>Ø200 [mm]</t>
  </si>
  <si>
    <t>Ø250 [mm]</t>
  </si>
  <si>
    <t>Ø315 [mm]</t>
  </si>
  <si>
    <t>ITC-BT-21</t>
  </si>
  <si>
    <t>S</t>
  </si>
  <si>
    <t>ITC-BT-21 → FO</t>
  </si>
  <si>
    <t>Espacio libre útil requerido ([mm²])</t>
  </si>
  <si>
    <t>A = FO × E</t>
  </si>
  <si>
    <t>E = N × d² × pi/4</t>
  </si>
  <si>
    <t>Conductividad
([m / (mm² x Ω)])</t>
  </si>
  <si>
    <t>Espacio total ocupado ([mm²])</t>
  </si>
  <si>
    <t>Tipo de montaje empleado</t>
  </si>
  <si>
    <t>t</t>
  </si>
  <si>
    <t>ICC-0</t>
  </si>
  <si>
    <t>L</t>
  </si>
  <si>
    <t>V</t>
  </si>
  <si>
    <t>I</t>
  </si>
  <si>
    <t>Lista circuitos</t>
  </si>
  <si>
    <t>NT</t>
  </si>
  <si>
    <t>TM = f(aislante)</t>
  </si>
  <si>
    <t>ICC = K × S / √t</t>
  </si>
  <si>
    <t>REBT → ΔV.MAX</t>
  </si>
  <si>
    <t>ΔV &lt; ΔV.MAX</t>
  </si>
  <si>
    <t>I &lt; IA</t>
  </si>
  <si>
    <t>d ≈ f(S, Modelo)</t>
  </si>
  <si>
    <t>Número de cables considerado</t>
  </si>
  <si>
    <t>1A - CRITERIO TÉRMICO: INTENSIDAD MÁXIMA ADMISIBLE CORREGIDA MAYOR A LA INTENSIDAD NOMINAL DE TRABAJO</t>
  </si>
  <si>
    <t>IA = F1 × F2 × … × F6 × NT × IA-0</t>
  </si>
  <si>
    <t>Tablas de la Norma UNE-HD 60364-5-52 y REBT → IA-0, NT, F1, F2, F3, F4, F5 y F6</t>
  </si>
  <si>
    <t>GUÍA-BT-22 → K</t>
  </si>
  <si>
    <t>Caída de tensión producida ([%])</t>
  </si>
  <si>
    <t>Caída de tensión
permitida ([%])</t>
  </si>
  <si>
    <t>Ficha técnica del cable</t>
  </si>
  <si>
    <t>□60x60 [mm]</t>
  </si>
  <si>
    <t>□60x100 [mm]</t>
  </si>
  <si>
    <t>□60x150 [mm]</t>
  </si>
  <si>
    <t>□60x200 [mm]</t>
  </si>
  <si>
    <t>□100x200 [mm]</t>
  </si>
  <si>
    <t>□100x300 [mm]</t>
  </si>
  <si>
    <t>□100x400 [mm]</t>
  </si>
  <si>
    <t>□100x500 [mm]</t>
  </si>
  <si>
    <t>□100x600 [mm]</t>
  </si>
  <si>
    <t>ITC del REBT</t>
  </si>
  <si>
    <t>Tipo de circuito</t>
  </si>
  <si>
    <t>Trifásico</t>
  </si>
  <si>
    <t>Número de cables</t>
  </si>
  <si>
    <t>Factor para calcular la caida de tensión</t>
  </si>
  <si>
    <t>ΔV = (n × I/F5 × L) / (V × C × NT × S)</t>
  </si>
  <si>
    <t>Monofásico / C.C</t>
  </si>
  <si>
    <t>Tipo circuito</t>
  </si>
  <si>
    <t>N = 3|5 × NT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</si>
  <si>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</si>
  <si>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</si>
  <si>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</si>
  <si>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</si>
  <si>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</si>
  <si>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</si>
  <si>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</si>
  <si>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</si>
  <si>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</si>
  <si>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</si>
  <si>
    <t>10a</t>
  </si>
  <si>
    <t>10b</t>
  </si>
  <si>
    <t>Nº Norma UNE</t>
  </si>
  <si>
    <t>0 - DATOS DE LOS CIRCUITOS DE LA INSTALACIÓN</t>
  </si>
  <si>
    <t>No aplica</t>
  </si>
  <si>
    <t>Ø400 [mm]</t>
  </si>
  <si>
    <t>LGA con varias C.C</t>
  </si>
  <si>
    <t>LGA con una C.C</t>
  </si>
  <si>
    <t>DI con una C.C</t>
  </si>
  <si>
    <t>DI sin LGA/C.C</t>
  </si>
  <si>
    <t>Alumbrado industria</t>
  </si>
  <si>
    <t>DI con varias C.C</t>
  </si>
  <si>
    <t>□30x40 [mm]</t>
  </si>
  <si>
    <t>Diámetro exterior del cable ([mm])</t>
  </si>
  <si>
    <t>IA ([A])</t>
  </si>
  <si>
    <t>I &lt; IP &lt; IA</t>
  </si>
  <si>
    <t>Alumbrado</t>
  </si>
  <si>
    <t>Fuerza (con CTC)</t>
  </si>
  <si>
    <t>Calibre de la protección ([A])</t>
  </si>
  <si>
    <t>Otros</t>
  </si>
  <si>
    <t>5 - OBSERVACIONES Y CRITERIOS DE CÁLCULO</t>
  </si>
  <si>
    <t>ATENCIÓN</t>
  </si>
  <si>
    <t>Temperatura máxima ([ºC])</t>
  </si>
  <si>
    <t>I.A máxima corregida ([A])</t>
  </si>
  <si>
    <t>Ingeniero Solitario (Andrés D.G), marzo de 2026</t>
  </si>
  <si>
    <t>Denominación del circuito eléctrico</t>
  </si>
  <si>
    <t>- En color naranja se indican los interruptores que deberán regularse para proteger de manera adecuada sus circuitos a fin de cumplir la condición [I &lt; IP &lt; IA].</t>
  </si>
  <si>
    <t>□150x600 [mm]</t>
  </si>
  <si>
    <t>□200x600 [mm]</t>
  </si>
  <si>
    <t>Potencia
nominal ([kW])</t>
  </si>
  <si>
    <r>
      <t xml:space="preserve">P = </t>
    </r>
    <r>
      <rPr>
        <sz val="9"/>
        <color theme="1"/>
        <rFont val="Calibri"/>
        <family val="2"/>
      </rPr>
      <t xml:space="preserve">√3 | 1 × </t>
    </r>
    <r>
      <rPr>
        <sz val="9"/>
        <color theme="1"/>
        <rFont val="Arial"/>
        <family val="2"/>
      </rPr>
      <t>V × I</t>
    </r>
  </si>
  <si>
    <t>FG = F1 × F2 × F3 × ... × F6</t>
  </si>
  <si>
    <t>Factor corrector global</t>
  </si>
  <si>
    <t xml:space="preserve">R = L / (C × S × NT) </t>
  </si>
  <si>
    <r>
      <t>Resistencia del circuito ([</t>
    </r>
    <r>
      <rPr>
        <sz val="10"/>
        <color theme="1"/>
        <rFont val="Aptos Narrow"/>
        <family val="2"/>
        <charset val="1"/>
      </rPr>
      <t>Ω</t>
    </r>
    <r>
      <rPr>
        <sz val="10"/>
        <color theme="1"/>
        <rFont val="Arial"/>
        <family val="2"/>
      </rPr>
      <t>])</t>
    </r>
  </si>
  <si>
    <t>Ocupación máxima ([%])</t>
  </si>
  <si>
    <t>E / EL × 100</t>
  </si>
  <si>
    <t>A &lt; Wi × Hi = EL</t>
  </si>
  <si>
    <t>A &lt; Di² × pi/4 = EL</t>
  </si>
  <si>
    <t>FUENTES</t>
  </si>
  <si>
    <t>Cálculo de agrupación de ternas o circuitos
Introducir el espacio ocupado y tipología</t>
  </si>
  <si>
    <t>Cortocircuito corregido ([A])</t>
  </si>
  <si>
    <t>ICC-F = U / (R0+R)</t>
  </si>
  <si>
    <t>Resultados
(I vs IA)</t>
  </si>
  <si>
    <t>PdC &gt; ICC-F</t>
  </si>
  <si>
    <t>ICC &gt; ICC-F</t>
  </si>
  <si>
    <t>ICC vs ICC-F</t>
  </si>
  <si>
    <t>DI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</si>
  <si>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</si>
  <si>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</si>
  <si>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</si>
  <si>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</si>
  <si>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</si>
  <si>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</si>
  <si>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</si>
  <si>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</si>
  <si>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</si>
  <si>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</si>
  <si>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</si>
  <si>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</si>
  <si>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</si>
  <si>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C.FV</t>
  </si>
  <si>
    <t>Fuerza (en BT)</t>
  </si>
  <si>
    <t>- Cálculo de los circuitos de una vivienda con un grado de electrificación elevado para sus intensidades máximas posibles de funcionamiento, suministro monofásico individual (CPM); criterios acordes a la ITC-BT-25.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</si>
</sst>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0.00000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0"/>
      <color theme="0" tint="-0.34998626667073579"/>
      <name val="Arial"/>
      <family val="2"/>
    </font>
    <font>
      <sz val="10"/>
      <color theme="0"/>
      <name val="Arial"/>
      <family val="2"/>
    </font>
    <font>
      <sz val="9"/>
      <color theme="1"/>
      <name val="Calibri"/>
      <family val="2"/>
    </font>
    <font>
      <sz val="10"/>
      <color theme="1"/>
      <name val="Aptos Narrow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62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center" vertical="center"/>
    </xf>
    <xf numFmtId="0" fontId="1" fillId="2" borderId="0" xfId="0" applyFont="1" applyFill="1"/>
    <xf numFmtId="0" fontId="1" fillId="3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wrapText="1"/>
    </xf>
    <xf numFmtId="2" fontId="1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4" borderId="1" xfId="0" applyFont="1" applyFill="1" applyBorder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 wrapText="1"/>
    </xf>
    <xf numFmtId="10" fontId="1" fillId="4" borderId="1" xfId="2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2" fontId="1" fillId="2" borderId="3" xfId="0" applyNumberFormat="1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2" fontId="1" fillId="2" borderId="13" xfId="0" applyNumberFormat="1" applyFont="1" applyFill="1" applyBorder="1" applyAlignment="1">
      <alignment horizontal="center" vertical="center"/>
    </xf>
    <xf numFmtId="164" fontId="1" fillId="2" borderId="13" xfId="0" applyNumberFormat="1" applyFont="1" applyFill="1" applyBorder="1" applyAlignment="1">
      <alignment horizontal="center" vertical="center"/>
    </xf>
    <xf numFmtId="164" fontId="1" fillId="2" borderId="10" xfId="0" applyNumberFormat="1" applyFont="1" applyFill="1" applyBorder="1" applyAlignment="1">
      <alignment horizontal="center" vertical="center"/>
    </xf>
    <xf numFmtId="2" fontId="1" fillId="2" borderId="11" xfId="0" applyNumberFormat="1" applyFont="1" applyFill="1" applyBorder="1" applyAlignment="1">
      <alignment horizontal="center" vertical="center"/>
    </xf>
    <xf numFmtId="164" fontId="1" fillId="2" borderId="11" xfId="0" applyNumberFormat="1" applyFont="1" applyFill="1" applyBorder="1" applyAlignment="1">
      <alignment horizontal="center" vertical="center"/>
    </xf>
    <xf numFmtId="164" fontId="1" fillId="2" borderId="12" xfId="0" applyNumberFormat="1" applyFont="1" applyFill="1" applyBorder="1" applyAlignment="1">
      <alignment horizontal="center" vertical="center"/>
    </xf>
    <xf numFmtId="164" fontId="1" fillId="2" borderId="14" xfId="0" applyNumberFormat="1" applyFont="1" applyFill="1" applyBorder="1" applyAlignment="1">
      <alignment horizontal="center" vertical="center"/>
    </xf>
    <xf numFmtId="1" fontId="1" fillId="2" borderId="5" xfId="0" applyNumberFormat="1" applyFont="1" applyFill="1" applyBorder="1" applyAlignment="1">
      <alignment horizontal="center" vertical="center"/>
    </xf>
    <xf numFmtId="2" fontId="1" fillId="2" borderId="6" xfId="0" applyNumberFormat="1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vertical="center"/>
    </xf>
    <xf numFmtId="0" fontId="1" fillId="2" borderId="14" xfId="0" applyFont="1" applyFill="1" applyBorder="1" applyAlignment="1">
      <alignment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/>
    </xf>
    <xf numFmtId="164" fontId="1" fillId="2" borderId="21" xfId="0" applyNumberFormat="1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164" fontId="1" fillId="2" borderId="10" xfId="0" applyNumberFormat="1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164" fontId="1" fillId="2" borderId="6" xfId="0" applyNumberFormat="1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164" fontId="1" fillId="4" borderId="10" xfId="0" applyNumberFormat="1" applyFont="1" applyFill="1" applyBorder="1" applyAlignment="1">
      <alignment horizontal="center" vertical="center"/>
    </xf>
    <xf numFmtId="164" fontId="1" fillId="4" borderId="12" xfId="0" applyNumberFormat="1" applyFont="1" applyFill="1" applyBorder="1" applyAlignment="1">
      <alignment horizontal="center" vertical="center"/>
    </xf>
    <xf numFmtId="164" fontId="1" fillId="4" borderId="13" xfId="0" applyNumberFormat="1" applyFont="1" applyFill="1" applyBorder="1" applyAlignment="1">
      <alignment horizontal="center" vertical="center"/>
    </xf>
    <xf numFmtId="164" fontId="1" fillId="4" borderId="2" xfId="0" applyNumberFormat="1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1" fillId="2" borderId="23" xfId="0" applyNumberFormat="1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164" fontId="0" fillId="2" borderId="10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4" borderId="11" xfId="0" applyNumberFormat="1" applyFill="1" applyBorder="1" applyAlignment="1">
      <alignment horizontal="center" vertical="center"/>
    </xf>
    <xf numFmtId="164" fontId="0" fillId="2" borderId="0" xfId="0" applyNumberFormat="1" applyFill="1"/>
    <xf numFmtId="164" fontId="0" fillId="2" borderId="11" xfId="0" applyNumberFormat="1" applyFill="1" applyBorder="1" applyAlignment="1">
      <alignment horizontal="center" vertical="center"/>
    </xf>
    <xf numFmtId="164" fontId="0" fillId="2" borderId="12" xfId="0" applyNumberFormat="1" applyFill="1" applyBorder="1" applyAlignment="1">
      <alignment horizontal="center" vertical="center"/>
    </xf>
    <xf numFmtId="164" fontId="0" fillId="2" borderId="13" xfId="0" applyNumberFormat="1" applyFill="1" applyBorder="1" applyAlignment="1">
      <alignment horizontal="center" vertical="center"/>
    </xf>
    <xf numFmtId="164" fontId="0" fillId="4" borderId="13" xfId="0" applyNumberFormat="1" applyFill="1" applyBorder="1" applyAlignment="1">
      <alignment horizontal="center" vertical="center"/>
    </xf>
    <xf numFmtId="164" fontId="0" fillId="2" borderId="14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2" xfId="0" applyNumberFormat="1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164" fontId="0" fillId="2" borderId="23" xfId="0" applyNumberForma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1" fillId="3" borderId="13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/>
    <xf numFmtId="0" fontId="1" fillId="2" borderId="6" xfId="0" applyFont="1" applyFill="1" applyBorder="1"/>
    <xf numFmtId="0" fontId="1" fillId="3" borderId="12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2" fontId="1" fillId="2" borderId="15" xfId="1" applyNumberFormat="1" applyFont="1" applyFill="1" applyBorder="1" applyAlignment="1">
      <alignment horizontal="center" vertical="center"/>
    </xf>
    <xf numFmtId="2" fontId="1" fillId="2" borderId="16" xfId="0" applyNumberFormat="1" applyFont="1" applyFill="1" applyBorder="1" applyAlignment="1">
      <alignment horizontal="center" vertical="center"/>
    </xf>
    <xf numFmtId="2" fontId="1" fillId="2" borderId="10" xfId="1" applyNumberFormat="1" applyFont="1" applyFill="1" applyBorder="1" applyAlignment="1">
      <alignment horizontal="center" vertical="center"/>
    </xf>
    <xf numFmtId="0" fontId="1" fillId="2" borderId="10" xfId="0" applyFont="1" applyFill="1" applyBorder="1"/>
    <xf numFmtId="0" fontId="1" fillId="2" borderId="12" xfId="0" applyFont="1" applyFill="1" applyBorder="1"/>
    <xf numFmtId="2" fontId="1" fillId="2" borderId="14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1" xfId="0" applyFont="1" applyFill="1" applyBorder="1"/>
    <xf numFmtId="0" fontId="1" fillId="2" borderId="14" xfId="0" applyFont="1" applyFill="1" applyBorder="1"/>
    <xf numFmtId="10" fontId="1" fillId="2" borderId="16" xfId="0" applyNumberFormat="1" applyFont="1" applyFill="1" applyBorder="1" applyAlignment="1">
      <alignment horizontal="center" vertical="center"/>
    </xf>
    <xf numFmtId="10" fontId="1" fillId="2" borderId="11" xfId="0" applyNumberFormat="1" applyFont="1" applyFill="1" applyBorder="1" applyAlignment="1">
      <alignment horizontal="center" vertical="center"/>
    </xf>
    <xf numFmtId="10" fontId="1" fillId="2" borderId="14" xfId="0" applyNumberFormat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2" fontId="1" fillId="2" borderId="10" xfId="0" applyNumberFormat="1" applyFont="1" applyFill="1" applyBorder="1" applyAlignment="1">
      <alignment horizontal="center" vertical="center"/>
    </xf>
    <xf numFmtId="2" fontId="1" fillId="2" borderId="12" xfId="0" applyNumberFormat="1" applyFont="1" applyFill="1" applyBorder="1" applyAlignment="1">
      <alignment horizontal="center" vertical="center"/>
    </xf>
    <xf numFmtId="0" fontId="1" fillId="3" borderId="34" xfId="0" applyFont="1" applyFill="1" applyBorder="1" applyAlignment="1">
      <alignment horizontal="center" vertical="center"/>
    </xf>
    <xf numFmtId="0" fontId="1" fillId="3" borderId="3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8" fillId="2" borderId="0" xfId="0" applyFont="1" applyFill="1" applyAlignment="1" applyProtection="1">
      <alignment horizontal="left" vertical="center"/>
      <protection hidden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/>
    </xf>
    <xf numFmtId="1" fontId="1" fillId="2" borderId="11" xfId="0" applyNumberFormat="1" applyFont="1" applyFill="1" applyBorder="1" applyAlignment="1">
      <alignment horizontal="center" vertical="center"/>
    </xf>
    <xf numFmtId="165" fontId="1" fillId="4" borderId="1" xfId="2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2" borderId="1" xfId="0" quotePrefix="1" applyFont="1" applyFill="1" applyBorder="1" applyAlignment="1">
      <alignment horizontal="center" vertical="center" wrapText="1"/>
    </xf>
    <xf numFmtId="0" fontId="1" fillId="5" borderId="1" xfId="0" quotePrefix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 wrapText="1"/>
    </xf>
    <xf numFmtId="0" fontId="1" fillId="3" borderId="30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/>
    </xf>
    <xf numFmtId="0" fontId="4" fillId="3" borderId="33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/>
    </xf>
    <xf numFmtId="0" fontId="4" fillId="3" borderId="36" xfId="0" applyFont="1" applyFill="1" applyBorder="1" applyAlignment="1">
      <alignment horizontal="center" vertical="center"/>
    </xf>
    <xf numFmtId="0" fontId="4" fillId="3" borderId="35" xfId="0" applyFont="1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24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7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B966-7C1A-4194-95FA-7A247B58DB67}">
  <sheetPr>
    <tabColor theme="0"/>
    <pageSetUpPr fitToPage="1"/>
  </sheetPr>
  <dimension ref="A1:AB1000"/>
  <sheetViews>
    <sheetView tabSelected="1" view="pageBreakPreview" zoomScale="90" zoomScaleNormal="80" zoomScaleSheetLayoutView="90" workbookViewId="0">
      <selection activeCell="F11" sqref="F11"/>
    </sheetView>
  </sheetViews>
  <sheetFormatPr baseColWidth="10" defaultColWidth="8.88671875" defaultRowHeight="14.4" x14ac:dyDescent="0.3"/>
  <cols>
    <col min="1" max="1" width="10.77734375" style="10" customWidth="1"/>
    <col min="2" max="12" width="15.77734375" style="10" customWidth="1"/>
    <col min="13" max="27" width="15.77734375" style="20" customWidth="1"/>
  </cols>
  <sheetData>
    <row r="1" spans="1:28" s="3" customFormat="1" ht="13.2" x14ac:dyDescent="0.25">
      <c r="A1" s="132" t="s">
        <v>168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8" s="6" customFormat="1" ht="26.4" x14ac:dyDescent="0.25">
      <c r="A2" s="4" t="s">
        <v>0</v>
      </c>
      <c r="B2" s="4" t="s">
        <v>190</v>
      </c>
      <c r="C2" s="4" t="s">
        <v>59</v>
      </c>
      <c r="D2" s="4" t="s">
        <v>18</v>
      </c>
      <c r="E2" s="4" t="s">
        <v>19</v>
      </c>
      <c r="F2" s="4" t="s">
        <v>3</v>
      </c>
      <c r="G2" s="4" t="s">
        <v>2</v>
      </c>
      <c r="H2" s="4" t="s">
        <v>22</v>
      </c>
      <c r="I2" s="4" t="s">
        <v>23</v>
      </c>
      <c r="J2" s="4" t="s">
        <v>147</v>
      </c>
      <c r="K2" s="4" t="s">
        <v>187</v>
      </c>
      <c r="L2" s="4" t="s">
        <v>194</v>
      </c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s="3" customFormat="1" ht="13.2" x14ac:dyDescent="0.25">
      <c r="A3" s="12">
        <f>IF(B3="","",1)</f>
        <v>1</v>
      </c>
      <c r="B3" s="9" t="s">
        <v>212</v>
      </c>
      <c r="C3" s="15">
        <v>16</v>
      </c>
      <c r="D3" s="7">
        <v>20</v>
      </c>
      <c r="E3" s="19">
        <v>1</v>
      </c>
      <c r="F3" s="7" t="s">
        <v>15</v>
      </c>
      <c r="G3" s="7" t="s">
        <v>13</v>
      </c>
      <c r="H3" s="7">
        <v>230</v>
      </c>
      <c r="I3" s="7">
        <v>40</v>
      </c>
      <c r="J3" s="19" t="s">
        <v>152</v>
      </c>
      <c r="K3" s="16">
        <f>IF(A3="","",VLOOKUP(G3,BASE!F$3:G$5,2,FALSE))</f>
        <v>90</v>
      </c>
      <c r="L3" s="13">
        <f t="shared" ref="L3:L22" si="0">IF(A3="","",IF(J3="Trifásico",SQRT(3),1)*I3*H3/1000)</f>
        <v>9.1999999999999993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s="3" customFormat="1" ht="13.2" x14ac:dyDescent="0.25">
      <c r="A4" s="12">
        <f>IF(B4="","",A3+1)</f>
        <v>2</v>
      </c>
      <c r="B4" s="9" t="s">
        <v>213</v>
      </c>
      <c r="C4" s="15">
        <v>1.5</v>
      </c>
      <c r="D4" s="7">
        <v>15</v>
      </c>
      <c r="E4" s="19">
        <v>1</v>
      </c>
      <c r="F4" s="7" t="s">
        <v>15</v>
      </c>
      <c r="G4" s="7" t="s">
        <v>14</v>
      </c>
      <c r="H4" s="7">
        <v>230</v>
      </c>
      <c r="I4" s="7">
        <v>10</v>
      </c>
      <c r="J4" s="19" t="s">
        <v>152</v>
      </c>
      <c r="K4" s="16">
        <f>IF(A4="","",VLOOKUP(G4,BASE!F$3:G$5,2,FALSE))</f>
        <v>70</v>
      </c>
      <c r="L4" s="13">
        <f t="shared" si="0"/>
        <v>2.2999999999999998</v>
      </c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s="3" customFormat="1" ht="13.2" x14ac:dyDescent="0.25">
      <c r="A5" s="12">
        <f t="shared" ref="A5:A10" si="1">IF(B5="","",A4+1)</f>
        <v>3</v>
      </c>
      <c r="B5" s="9" t="s">
        <v>214</v>
      </c>
      <c r="C5" s="15">
        <v>2.5</v>
      </c>
      <c r="D5" s="7">
        <v>15</v>
      </c>
      <c r="E5" s="19">
        <v>1</v>
      </c>
      <c r="F5" s="7" t="s">
        <v>15</v>
      </c>
      <c r="G5" s="7" t="s">
        <v>14</v>
      </c>
      <c r="H5" s="7">
        <v>230</v>
      </c>
      <c r="I5" s="7">
        <v>16</v>
      </c>
      <c r="J5" s="19" t="s">
        <v>152</v>
      </c>
      <c r="K5" s="16">
        <f>IF(A5="","",VLOOKUP(G5,BASE!F$3:G$5,2,FALSE))</f>
        <v>70</v>
      </c>
      <c r="L5" s="13">
        <f t="shared" si="0"/>
        <v>3.68</v>
      </c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s="3" customFormat="1" ht="13.2" x14ac:dyDescent="0.25">
      <c r="A6" s="12">
        <f t="shared" si="1"/>
        <v>4</v>
      </c>
      <c r="B6" s="9" t="s">
        <v>215</v>
      </c>
      <c r="C6" s="15">
        <v>6</v>
      </c>
      <c r="D6" s="7">
        <v>15</v>
      </c>
      <c r="E6" s="19">
        <v>1</v>
      </c>
      <c r="F6" s="7" t="s">
        <v>15</v>
      </c>
      <c r="G6" s="7" t="s">
        <v>14</v>
      </c>
      <c r="H6" s="7">
        <v>230</v>
      </c>
      <c r="I6" s="7">
        <v>25</v>
      </c>
      <c r="J6" s="19" t="s">
        <v>152</v>
      </c>
      <c r="K6" s="16">
        <f>IF(A6="","",VLOOKUP(G6,BASE!F$3:G$5,2,FALSE))</f>
        <v>70</v>
      </c>
      <c r="L6" s="13">
        <f t="shared" si="0"/>
        <v>5.75</v>
      </c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s="3" customFormat="1" ht="13.2" x14ac:dyDescent="0.25">
      <c r="A7" s="12">
        <f t="shared" si="1"/>
        <v>5</v>
      </c>
      <c r="B7" s="9" t="s">
        <v>216</v>
      </c>
      <c r="C7" s="15">
        <v>4</v>
      </c>
      <c r="D7" s="7">
        <v>15</v>
      </c>
      <c r="E7" s="19">
        <v>1</v>
      </c>
      <c r="F7" s="7" t="s">
        <v>15</v>
      </c>
      <c r="G7" s="7" t="s">
        <v>14</v>
      </c>
      <c r="H7" s="7">
        <v>230</v>
      </c>
      <c r="I7" s="7">
        <v>20</v>
      </c>
      <c r="J7" s="19" t="s">
        <v>152</v>
      </c>
      <c r="K7" s="16">
        <f>IF(A7="","",VLOOKUP(G7,BASE!F$3:G$5,2,FALSE))</f>
        <v>70</v>
      </c>
      <c r="L7" s="13">
        <f t="shared" si="0"/>
        <v>4.5999999999999996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s="3" customFormat="1" ht="13.2" x14ac:dyDescent="0.25">
      <c r="A8" s="12">
        <f t="shared" si="1"/>
        <v>6</v>
      </c>
      <c r="B8" s="9" t="s">
        <v>217</v>
      </c>
      <c r="C8" s="15">
        <v>2.5</v>
      </c>
      <c r="D8" s="7">
        <v>15</v>
      </c>
      <c r="E8" s="19">
        <v>1</v>
      </c>
      <c r="F8" s="7" t="s">
        <v>15</v>
      </c>
      <c r="G8" s="7" t="s">
        <v>14</v>
      </c>
      <c r="H8" s="7">
        <v>230</v>
      </c>
      <c r="I8" s="7">
        <v>16</v>
      </c>
      <c r="J8" s="19" t="s">
        <v>152</v>
      </c>
      <c r="K8" s="16">
        <f>IF(A8="","",VLOOKUP(G8,BASE!F$3:G$5,2,FALSE))</f>
        <v>70</v>
      </c>
      <c r="L8" s="13">
        <f t="shared" si="0"/>
        <v>3.68</v>
      </c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" customFormat="1" ht="13.2" x14ac:dyDescent="0.25">
      <c r="A9" s="12">
        <f t="shared" si="1"/>
        <v>7</v>
      </c>
      <c r="B9" s="9" t="s">
        <v>218</v>
      </c>
      <c r="C9" s="15">
        <v>1.5</v>
      </c>
      <c r="D9" s="7">
        <v>15</v>
      </c>
      <c r="E9" s="19">
        <v>1</v>
      </c>
      <c r="F9" s="7" t="s">
        <v>15</v>
      </c>
      <c r="G9" s="7" t="s">
        <v>14</v>
      </c>
      <c r="H9" s="7">
        <v>230</v>
      </c>
      <c r="I9" s="7">
        <v>10</v>
      </c>
      <c r="J9" s="19" t="s">
        <v>152</v>
      </c>
      <c r="K9" s="16">
        <f>IF(A9="","",VLOOKUP(G9,BASE!F$3:G$5,2,FALSE))</f>
        <v>70</v>
      </c>
      <c r="L9" s="13">
        <f t="shared" si="0"/>
        <v>2.2999999999999998</v>
      </c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s="3" customFormat="1" ht="13.2" x14ac:dyDescent="0.25">
      <c r="A10" s="12">
        <f t="shared" si="1"/>
        <v>8</v>
      </c>
      <c r="B10" s="9" t="s">
        <v>219</v>
      </c>
      <c r="C10" s="15">
        <v>2.5</v>
      </c>
      <c r="D10" s="7">
        <v>15</v>
      </c>
      <c r="E10" s="19">
        <v>1</v>
      </c>
      <c r="F10" s="7" t="s">
        <v>15</v>
      </c>
      <c r="G10" s="7" t="s">
        <v>14</v>
      </c>
      <c r="H10" s="7">
        <v>230</v>
      </c>
      <c r="I10" s="7">
        <v>16</v>
      </c>
      <c r="J10" s="19" t="s">
        <v>152</v>
      </c>
      <c r="K10" s="16">
        <f>IF(A10="","",VLOOKUP(G10,BASE!F$3:G$5,2,FALSE))</f>
        <v>70</v>
      </c>
      <c r="L10" s="13">
        <f t="shared" si="0"/>
        <v>3.68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s="3" customFormat="1" ht="13.2" x14ac:dyDescent="0.25">
      <c r="A11" s="12">
        <f>IF(B11="","",A10+1)</f>
        <v>9</v>
      </c>
      <c r="B11" s="9" t="s">
        <v>220</v>
      </c>
      <c r="C11" s="15">
        <v>6</v>
      </c>
      <c r="D11" s="7">
        <v>15</v>
      </c>
      <c r="E11" s="19">
        <v>1</v>
      </c>
      <c r="F11" s="7" t="s">
        <v>15</v>
      </c>
      <c r="G11" s="7" t="s">
        <v>14</v>
      </c>
      <c r="H11" s="7">
        <v>230</v>
      </c>
      <c r="I11" s="7">
        <v>25</v>
      </c>
      <c r="J11" s="19" t="s">
        <v>152</v>
      </c>
      <c r="K11" s="16">
        <f>IF(A11="","",VLOOKUP(G11,BASE!F$3:G$5,2,FALSE))</f>
        <v>70</v>
      </c>
      <c r="L11" s="13">
        <f t="shared" si="0"/>
        <v>5.75</v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s="3" customFormat="1" ht="13.2" x14ac:dyDescent="0.25">
      <c r="A12" s="12">
        <f t="shared" ref="A12:A22" si="2">IF(B12="","",A11+1)</f>
        <v>10</v>
      </c>
      <c r="B12" s="9" t="s">
        <v>221</v>
      </c>
      <c r="C12" s="15">
        <v>6</v>
      </c>
      <c r="D12" s="7">
        <v>15</v>
      </c>
      <c r="E12" s="19">
        <v>1</v>
      </c>
      <c r="F12" s="7" t="s">
        <v>15</v>
      </c>
      <c r="G12" s="7" t="s">
        <v>14</v>
      </c>
      <c r="H12" s="7">
        <v>230</v>
      </c>
      <c r="I12" s="7">
        <v>25</v>
      </c>
      <c r="J12" s="19" t="s">
        <v>152</v>
      </c>
      <c r="K12" s="16">
        <f>IF(A12="","",VLOOKUP(G12,BASE!F$3:G$5,2,FALSE))</f>
        <v>70</v>
      </c>
      <c r="L12" s="13">
        <f t="shared" si="0"/>
        <v>5.75</v>
      </c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s="3" customFormat="1" ht="13.2" x14ac:dyDescent="0.25">
      <c r="A13" s="12">
        <f t="shared" si="2"/>
        <v>11</v>
      </c>
      <c r="B13" s="9" t="s">
        <v>222</v>
      </c>
      <c r="C13" s="15">
        <v>2.5</v>
      </c>
      <c r="D13" s="7">
        <v>15</v>
      </c>
      <c r="E13" s="19">
        <v>1</v>
      </c>
      <c r="F13" s="7" t="s">
        <v>15</v>
      </c>
      <c r="G13" s="7" t="s">
        <v>14</v>
      </c>
      <c r="H13" s="7">
        <v>230</v>
      </c>
      <c r="I13" s="7">
        <v>16</v>
      </c>
      <c r="J13" s="19" t="s">
        <v>152</v>
      </c>
      <c r="K13" s="16">
        <f>IF(A13="","",VLOOKUP(G13,BASE!F$3:G$5,2,FALSE))</f>
        <v>70</v>
      </c>
      <c r="L13" s="13">
        <f t="shared" si="0"/>
        <v>3.68</v>
      </c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s="3" customFormat="1" ht="13.2" x14ac:dyDescent="0.25">
      <c r="A14" s="12">
        <f t="shared" si="2"/>
        <v>12</v>
      </c>
      <c r="B14" s="9" t="s">
        <v>223</v>
      </c>
      <c r="C14" s="15">
        <v>1.5</v>
      </c>
      <c r="D14" s="7">
        <v>15</v>
      </c>
      <c r="E14" s="19">
        <v>1</v>
      </c>
      <c r="F14" s="7" t="s">
        <v>15</v>
      </c>
      <c r="G14" s="7" t="s">
        <v>14</v>
      </c>
      <c r="H14" s="7">
        <v>230</v>
      </c>
      <c r="I14" s="7">
        <v>10</v>
      </c>
      <c r="J14" s="19" t="s">
        <v>152</v>
      </c>
      <c r="K14" s="16">
        <f>IF(A14="","",VLOOKUP(G14,BASE!F$3:G$5,2,FALSE))</f>
        <v>70</v>
      </c>
      <c r="L14" s="13">
        <f t="shared" si="0"/>
        <v>2.2999999999999998</v>
      </c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s="3" customFormat="1" ht="13.2" x14ac:dyDescent="0.25">
      <c r="A15" s="12">
        <f t="shared" si="2"/>
        <v>13</v>
      </c>
      <c r="B15" s="9" t="s">
        <v>224</v>
      </c>
      <c r="C15" s="15">
        <v>6</v>
      </c>
      <c r="D15" s="7">
        <v>15</v>
      </c>
      <c r="E15" s="19">
        <v>1</v>
      </c>
      <c r="F15" s="7" t="s">
        <v>15</v>
      </c>
      <c r="G15" s="7" t="s">
        <v>14</v>
      </c>
      <c r="H15" s="7">
        <v>230</v>
      </c>
      <c r="I15" s="7">
        <v>25</v>
      </c>
      <c r="J15" s="19" t="s">
        <v>152</v>
      </c>
      <c r="K15" s="16">
        <f>IF(A15="","",VLOOKUP(G15,BASE!F$3:G$5,2,FALSE))</f>
        <v>70</v>
      </c>
      <c r="L15" s="13">
        <f t="shared" si="0"/>
        <v>5.75</v>
      </c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s="3" customFormat="1" ht="13.2" x14ac:dyDescent="0.25">
      <c r="A16" s="12">
        <f t="shared" si="2"/>
        <v>14</v>
      </c>
      <c r="B16" s="9" t="s">
        <v>225</v>
      </c>
      <c r="C16" s="15">
        <v>10</v>
      </c>
      <c r="D16" s="7">
        <v>25</v>
      </c>
      <c r="E16" s="19">
        <v>1</v>
      </c>
      <c r="F16" s="7" t="s">
        <v>15</v>
      </c>
      <c r="G16" s="7" t="s">
        <v>13</v>
      </c>
      <c r="H16" s="7">
        <v>230</v>
      </c>
      <c r="I16" s="7">
        <v>40</v>
      </c>
      <c r="J16" s="19" t="s">
        <v>152</v>
      </c>
      <c r="K16" s="16">
        <f>IF(A16="","",VLOOKUP(G16,BASE!F$3:G$5,2,FALSE))</f>
        <v>90</v>
      </c>
      <c r="L16" s="13">
        <f t="shared" si="0"/>
        <v>9.1999999999999993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s="3" customFormat="1" ht="13.2" x14ac:dyDescent="0.25">
      <c r="A17" s="12">
        <f t="shared" si="2"/>
        <v>15</v>
      </c>
      <c r="B17" s="9" t="s">
        <v>226</v>
      </c>
      <c r="C17" s="15">
        <v>10</v>
      </c>
      <c r="D17" s="7">
        <v>25</v>
      </c>
      <c r="E17" s="19">
        <v>1</v>
      </c>
      <c r="F17" s="7" t="s">
        <v>15</v>
      </c>
      <c r="G17" s="7" t="s">
        <v>13</v>
      </c>
      <c r="H17" s="7">
        <v>230</v>
      </c>
      <c r="I17" s="7">
        <v>40</v>
      </c>
      <c r="J17" s="19" t="s">
        <v>152</v>
      </c>
      <c r="K17" s="16">
        <f>IF(A17="","",VLOOKUP(G17,BASE!F$3:G$5,2,FALSE))</f>
        <v>90</v>
      </c>
      <c r="L17" s="13">
        <f t="shared" si="0"/>
        <v>9.1999999999999993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s="3" customFormat="1" ht="13.2" x14ac:dyDescent="0.25">
      <c r="A18" s="12" t="str">
        <f t="shared" si="2"/>
        <v/>
      </c>
      <c r="B18" s="9"/>
      <c r="C18" s="15"/>
      <c r="D18" s="7"/>
      <c r="E18" s="19"/>
      <c r="F18" s="7"/>
      <c r="G18" s="7"/>
      <c r="H18" s="7"/>
      <c r="I18" s="7"/>
      <c r="J18" s="19"/>
      <c r="K18" s="16" t="str">
        <f>IF(A18="","",VLOOKUP(G18,BASE!F$3:G$5,2,FALSE))</f>
        <v/>
      </c>
      <c r="L18" s="13" t="str">
        <f t="shared" si="0"/>
        <v/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s="3" customFormat="1" ht="13.2" x14ac:dyDescent="0.25">
      <c r="A19" s="12" t="str">
        <f t="shared" si="2"/>
        <v/>
      </c>
      <c r="B19" s="9"/>
      <c r="C19" s="15"/>
      <c r="D19" s="7"/>
      <c r="E19" s="19"/>
      <c r="F19" s="7"/>
      <c r="G19" s="7"/>
      <c r="H19" s="7"/>
      <c r="I19" s="7"/>
      <c r="J19" s="19"/>
      <c r="K19" s="16" t="str">
        <f>IF(A19="","",VLOOKUP(G19,BASE!F$3:G$5,2,FALSE))</f>
        <v/>
      </c>
      <c r="L19" s="13" t="str">
        <f t="shared" si="0"/>
        <v/>
      </c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s="3" customFormat="1" ht="13.2" x14ac:dyDescent="0.25">
      <c r="A20" s="12" t="str">
        <f t="shared" si="2"/>
        <v/>
      </c>
      <c r="B20" s="9"/>
      <c r="C20" s="15"/>
      <c r="D20" s="7"/>
      <c r="E20" s="19"/>
      <c r="F20" s="7"/>
      <c r="G20" s="7"/>
      <c r="H20" s="7"/>
      <c r="I20" s="7"/>
      <c r="J20" s="19"/>
      <c r="K20" s="16" t="str">
        <f>IF(A20="","",VLOOKUP(G20,BASE!F$3:G$5,2,FALSE))</f>
        <v/>
      </c>
      <c r="L20" s="13" t="str">
        <f t="shared" si="0"/>
        <v/>
      </c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s="3" customFormat="1" ht="13.2" x14ac:dyDescent="0.25">
      <c r="A21" s="12" t="str">
        <f t="shared" si="2"/>
        <v/>
      </c>
      <c r="B21" s="9"/>
      <c r="C21" s="15"/>
      <c r="D21" s="7"/>
      <c r="E21" s="19"/>
      <c r="F21" s="7"/>
      <c r="G21" s="7"/>
      <c r="H21" s="7"/>
      <c r="I21" s="7"/>
      <c r="J21" s="19"/>
      <c r="K21" s="16" t="str">
        <f>IF(A21="","",VLOOKUP(G21,BASE!F$3:G$5,2,FALSE))</f>
        <v/>
      </c>
      <c r="L21" s="13" t="str">
        <f t="shared" si="0"/>
        <v/>
      </c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s="3" customFormat="1" ht="13.2" x14ac:dyDescent="0.25">
      <c r="A22" s="12" t="str">
        <f t="shared" si="2"/>
        <v/>
      </c>
      <c r="B22" s="9"/>
      <c r="C22" s="15"/>
      <c r="D22" s="7"/>
      <c r="E22" s="19"/>
      <c r="F22" s="7"/>
      <c r="G22" s="7"/>
      <c r="H22" s="7"/>
      <c r="I22" s="7"/>
      <c r="J22" s="19"/>
      <c r="K22" s="16" t="str">
        <f>IF(A22="","",VLOOKUP(G22,BASE!F$3:G$5,2,FALSE))</f>
        <v/>
      </c>
      <c r="L22" s="13" t="str">
        <f t="shared" si="0"/>
        <v/>
      </c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s="22" customFormat="1" ht="12" x14ac:dyDescent="0.2">
      <c r="A23" s="129" t="s">
        <v>204</v>
      </c>
      <c r="B23" s="130" t="s">
        <v>121</v>
      </c>
      <c r="C23" s="130" t="s">
        <v>108</v>
      </c>
      <c r="D23" s="130" t="s">
        <v>118</v>
      </c>
      <c r="E23" s="130" t="s">
        <v>122</v>
      </c>
      <c r="F23" s="138" t="s">
        <v>136</v>
      </c>
      <c r="G23" s="138"/>
      <c r="H23" s="130" t="s">
        <v>119</v>
      </c>
      <c r="I23" s="130" t="s">
        <v>120</v>
      </c>
      <c r="J23" s="130" t="s">
        <v>117</v>
      </c>
      <c r="K23" s="130" t="s">
        <v>123</v>
      </c>
      <c r="L23" s="130" t="s">
        <v>195</v>
      </c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</row>
    <row r="24" spans="1:28" s="3" customFormat="1" ht="13.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8" s="3" customFormat="1" ht="13.2" x14ac:dyDescent="0.25">
      <c r="A25" s="132" t="s">
        <v>130</v>
      </c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8" s="6" customFormat="1" ht="26.4" x14ac:dyDescent="0.25">
      <c r="A26" s="4" t="s">
        <v>0</v>
      </c>
      <c r="B26" s="4" t="s">
        <v>190</v>
      </c>
      <c r="C26" s="4" t="s">
        <v>64</v>
      </c>
      <c r="D26" s="4" t="s">
        <v>1</v>
      </c>
      <c r="E26" s="4" t="s">
        <v>65</v>
      </c>
      <c r="F26" s="4" t="s">
        <v>20</v>
      </c>
      <c r="G26" s="4" t="s">
        <v>29</v>
      </c>
      <c r="H26" s="4" t="s">
        <v>4</v>
      </c>
      <c r="I26" s="4" t="s">
        <v>52</v>
      </c>
      <c r="J26" s="4" t="s">
        <v>21</v>
      </c>
      <c r="K26" s="4" t="s">
        <v>208</v>
      </c>
      <c r="L26" s="4" t="s">
        <v>57</v>
      </c>
      <c r="M26" s="5"/>
      <c r="T26" s="5"/>
      <c r="U26" s="5"/>
      <c r="V26" s="5"/>
      <c r="W26" s="5"/>
      <c r="X26" s="5"/>
      <c r="Y26" s="5"/>
      <c r="Z26" s="5"/>
      <c r="AA26" s="5"/>
    </row>
    <row r="27" spans="1:28" s="3" customFormat="1" ht="13.2" x14ac:dyDescent="0.25">
      <c r="A27" s="16">
        <f t="shared" ref="A27:B42" si="3">IF(A3=0,"",A3)</f>
        <v>1</v>
      </c>
      <c r="B27" s="13" t="str">
        <f t="shared" si="3"/>
        <v>DI</v>
      </c>
      <c r="C27" s="12">
        <f t="shared" ref="C27:C46" si="4">IF(A27="","",IF(LEFT(D27,1)="D",25,40))</f>
        <v>40</v>
      </c>
      <c r="D27" s="9" t="s">
        <v>37</v>
      </c>
      <c r="E27" s="9">
        <v>40</v>
      </c>
      <c r="F27" s="7" t="s">
        <v>169</v>
      </c>
      <c r="G27" s="9">
        <v>1</v>
      </c>
      <c r="H27" s="9" t="s">
        <v>34</v>
      </c>
      <c r="I27" s="9" t="s">
        <v>173</v>
      </c>
      <c r="J27" s="9" t="s">
        <v>34</v>
      </c>
      <c r="K27" s="12" t="str">
        <f>IF(A27="","",CONCATENATE(TRUNC(L49,0)," | ",TRUNC(K49,0)))</f>
        <v>40 | 91</v>
      </c>
      <c r="L27" s="12" t="str">
        <f t="shared" ref="L27:L46" si="5">IF(A27="","",IF(K49&gt;L49,"CORRECTO","NO CUMPLE"))</f>
        <v>CORRECTO</v>
      </c>
      <c r="M27" s="2"/>
      <c r="T27" s="2"/>
      <c r="U27" s="2"/>
      <c r="V27" s="2"/>
      <c r="W27" s="2"/>
      <c r="X27" s="2"/>
      <c r="Y27" s="2"/>
      <c r="Z27" s="2"/>
      <c r="AA27" s="2"/>
    </row>
    <row r="28" spans="1:28" s="3" customFormat="1" ht="13.2" x14ac:dyDescent="0.25">
      <c r="A28" s="16">
        <f t="shared" si="3"/>
        <v>2</v>
      </c>
      <c r="B28" s="13" t="str">
        <f t="shared" si="3"/>
        <v>C1</v>
      </c>
      <c r="C28" s="12">
        <f t="shared" si="4"/>
        <v>40</v>
      </c>
      <c r="D28" s="9" t="s">
        <v>38</v>
      </c>
      <c r="E28" s="9">
        <v>30</v>
      </c>
      <c r="F28" s="7" t="s">
        <v>169</v>
      </c>
      <c r="G28" s="9">
        <v>2</v>
      </c>
      <c r="H28" s="9" t="s">
        <v>34</v>
      </c>
      <c r="I28" s="9" t="s">
        <v>181</v>
      </c>
      <c r="J28" s="9" t="s">
        <v>34</v>
      </c>
      <c r="K28" s="12" t="str">
        <f t="shared" ref="K28:K46" si="6">IF(A28="","",CONCATENATE(TRUNC(L50,0)," | ",TRUNC(K50,0)))</f>
        <v>10 | 12</v>
      </c>
      <c r="L28" s="12" t="str">
        <f t="shared" si="5"/>
        <v>CORRECTO</v>
      </c>
      <c r="M28" s="2"/>
      <c r="T28" s="2"/>
      <c r="U28" s="2"/>
      <c r="V28" s="2"/>
      <c r="W28" s="2"/>
      <c r="X28" s="2"/>
      <c r="Y28" s="2"/>
      <c r="Z28" s="2"/>
      <c r="AA28" s="2"/>
    </row>
    <row r="29" spans="1:28" s="3" customFormat="1" ht="13.2" x14ac:dyDescent="0.25">
      <c r="A29" s="16">
        <f t="shared" si="3"/>
        <v>3</v>
      </c>
      <c r="B29" s="13" t="str">
        <f t="shared" si="3"/>
        <v>C2</v>
      </c>
      <c r="C29" s="12">
        <f t="shared" si="4"/>
        <v>40</v>
      </c>
      <c r="D29" s="9" t="s">
        <v>38</v>
      </c>
      <c r="E29" s="9">
        <v>30</v>
      </c>
      <c r="F29" s="7" t="s">
        <v>169</v>
      </c>
      <c r="G29" s="9">
        <v>2</v>
      </c>
      <c r="H29" s="9" t="s">
        <v>34</v>
      </c>
      <c r="I29" s="9" t="s">
        <v>227</v>
      </c>
      <c r="J29" s="9" t="s">
        <v>34</v>
      </c>
      <c r="K29" s="12" t="str">
        <f t="shared" si="6"/>
        <v>16 | 16</v>
      </c>
      <c r="L29" s="12" t="str">
        <f t="shared" si="5"/>
        <v>CORRECTO</v>
      </c>
      <c r="M29" s="2"/>
      <c r="T29" s="2"/>
      <c r="U29" s="2"/>
      <c r="V29" s="2"/>
      <c r="W29" s="2"/>
      <c r="X29" s="2"/>
      <c r="Y29" s="2"/>
      <c r="Z29" s="2"/>
      <c r="AA29" s="2"/>
    </row>
    <row r="30" spans="1:28" s="3" customFormat="1" ht="13.2" x14ac:dyDescent="0.25">
      <c r="A30" s="16">
        <f t="shared" si="3"/>
        <v>4</v>
      </c>
      <c r="B30" s="13" t="str">
        <f t="shared" si="3"/>
        <v>C3</v>
      </c>
      <c r="C30" s="12">
        <f t="shared" si="4"/>
        <v>40</v>
      </c>
      <c r="D30" s="9" t="s">
        <v>38</v>
      </c>
      <c r="E30" s="9">
        <v>30</v>
      </c>
      <c r="F30" s="7" t="s">
        <v>169</v>
      </c>
      <c r="G30" s="9">
        <v>2</v>
      </c>
      <c r="H30" s="9" t="s">
        <v>34</v>
      </c>
      <c r="I30" s="9" t="s">
        <v>227</v>
      </c>
      <c r="J30" s="9" t="s">
        <v>34</v>
      </c>
      <c r="K30" s="12" t="str">
        <f t="shared" si="6"/>
        <v>25 | 28</v>
      </c>
      <c r="L30" s="12" t="str">
        <f t="shared" si="5"/>
        <v>CORRECTO</v>
      </c>
      <c r="M30" s="2"/>
      <c r="T30" s="2"/>
      <c r="U30" s="2"/>
      <c r="V30" s="2"/>
      <c r="W30" s="2"/>
      <c r="X30" s="2"/>
      <c r="Y30" s="2"/>
      <c r="Z30" s="2"/>
      <c r="AA30" s="2"/>
    </row>
    <row r="31" spans="1:28" s="3" customFormat="1" ht="13.2" x14ac:dyDescent="0.25">
      <c r="A31" s="16">
        <f t="shared" si="3"/>
        <v>5</v>
      </c>
      <c r="B31" s="13" t="str">
        <f t="shared" si="3"/>
        <v>C4</v>
      </c>
      <c r="C31" s="12">
        <f t="shared" si="4"/>
        <v>40</v>
      </c>
      <c r="D31" s="9" t="s">
        <v>38</v>
      </c>
      <c r="E31" s="9">
        <v>30</v>
      </c>
      <c r="F31" s="7" t="s">
        <v>169</v>
      </c>
      <c r="G31" s="9">
        <v>2</v>
      </c>
      <c r="H31" s="9" t="s">
        <v>34</v>
      </c>
      <c r="I31" s="9" t="s">
        <v>227</v>
      </c>
      <c r="J31" s="9" t="s">
        <v>34</v>
      </c>
      <c r="K31" s="12" t="str">
        <f t="shared" si="6"/>
        <v>20 | 22</v>
      </c>
      <c r="L31" s="12" t="str">
        <f t="shared" si="5"/>
        <v>CORRECTO</v>
      </c>
      <c r="M31" s="2"/>
      <c r="T31" s="2"/>
      <c r="U31" s="2"/>
      <c r="V31" s="2"/>
      <c r="W31" s="2"/>
      <c r="X31" s="2"/>
      <c r="Y31" s="2"/>
      <c r="Z31" s="2"/>
      <c r="AA31" s="2"/>
    </row>
    <row r="32" spans="1:28" s="3" customFormat="1" ht="13.2" x14ac:dyDescent="0.25">
      <c r="A32" s="16">
        <f t="shared" si="3"/>
        <v>6</v>
      </c>
      <c r="B32" s="13" t="str">
        <f t="shared" si="3"/>
        <v>C5</v>
      </c>
      <c r="C32" s="12">
        <f t="shared" si="4"/>
        <v>40</v>
      </c>
      <c r="D32" s="9" t="s">
        <v>38</v>
      </c>
      <c r="E32" s="9">
        <v>30</v>
      </c>
      <c r="F32" s="7" t="s">
        <v>169</v>
      </c>
      <c r="G32" s="9">
        <v>2</v>
      </c>
      <c r="H32" s="9" t="s">
        <v>34</v>
      </c>
      <c r="I32" s="9" t="s">
        <v>227</v>
      </c>
      <c r="J32" s="9" t="s">
        <v>34</v>
      </c>
      <c r="K32" s="12" t="str">
        <f t="shared" si="6"/>
        <v>16 | 16</v>
      </c>
      <c r="L32" s="12" t="str">
        <f t="shared" si="5"/>
        <v>CORRECTO</v>
      </c>
      <c r="M32" s="2"/>
      <c r="T32" s="2"/>
      <c r="U32" s="2"/>
      <c r="V32" s="2"/>
      <c r="W32" s="2"/>
      <c r="X32" s="2"/>
      <c r="Y32" s="2"/>
      <c r="Z32" s="2"/>
      <c r="AA32" s="2"/>
    </row>
    <row r="33" spans="1:27" s="3" customFormat="1" ht="13.2" x14ac:dyDescent="0.25">
      <c r="A33" s="16">
        <f t="shared" si="3"/>
        <v>7</v>
      </c>
      <c r="B33" s="13" t="str">
        <f t="shared" si="3"/>
        <v>C6</v>
      </c>
      <c r="C33" s="12">
        <f t="shared" si="4"/>
        <v>40</v>
      </c>
      <c r="D33" s="9" t="s">
        <v>38</v>
      </c>
      <c r="E33" s="9">
        <v>30</v>
      </c>
      <c r="F33" s="7" t="s">
        <v>169</v>
      </c>
      <c r="G33" s="9">
        <v>2</v>
      </c>
      <c r="H33" s="9" t="s">
        <v>34</v>
      </c>
      <c r="I33" s="9" t="s">
        <v>181</v>
      </c>
      <c r="J33" s="9" t="s">
        <v>34</v>
      </c>
      <c r="K33" s="12" t="str">
        <f t="shared" si="6"/>
        <v>10 | 12</v>
      </c>
      <c r="L33" s="12" t="str">
        <f t="shared" si="5"/>
        <v>CORRECTO</v>
      </c>
      <c r="M33" s="2"/>
      <c r="T33" s="2"/>
      <c r="U33" s="2"/>
      <c r="V33" s="2"/>
      <c r="W33" s="2"/>
      <c r="X33" s="2"/>
      <c r="Y33" s="2"/>
      <c r="Z33" s="2"/>
      <c r="AA33" s="2"/>
    </row>
    <row r="34" spans="1:27" s="3" customFormat="1" ht="13.2" x14ac:dyDescent="0.25">
      <c r="A34" s="16">
        <f t="shared" si="3"/>
        <v>8</v>
      </c>
      <c r="B34" s="13" t="str">
        <f t="shared" si="3"/>
        <v>C7</v>
      </c>
      <c r="C34" s="12">
        <f t="shared" si="4"/>
        <v>40</v>
      </c>
      <c r="D34" s="9" t="s">
        <v>38</v>
      </c>
      <c r="E34" s="9">
        <v>30</v>
      </c>
      <c r="F34" s="7" t="s">
        <v>169</v>
      </c>
      <c r="G34" s="9">
        <v>2</v>
      </c>
      <c r="H34" s="9" t="s">
        <v>34</v>
      </c>
      <c r="I34" s="9" t="s">
        <v>227</v>
      </c>
      <c r="J34" s="9" t="s">
        <v>34</v>
      </c>
      <c r="K34" s="12" t="str">
        <f t="shared" si="6"/>
        <v>16 | 16</v>
      </c>
      <c r="L34" s="12" t="str">
        <f t="shared" si="5"/>
        <v>CORRECTO</v>
      </c>
      <c r="M34" s="2"/>
      <c r="T34" s="2"/>
      <c r="U34" s="2"/>
      <c r="V34" s="2"/>
      <c r="W34" s="2"/>
      <c r="X34" s="2"/>
      <c r="Y34" s="2"/>
      <c r="Z34" s="2"/>
      <c r="AA34" s="2"/>
    </row>
    <row r="35" spans="1:27" s="3" customFormat="1" ht="13.2" x14ac:dyDescent="0.25">
      <c r="A35" s="16">
        <f t="shared" si="3"/>
        <v>9</v>
      </c>
      <c r="B35" s="13" t="str">
        <f t="shared" si="3"/>
        <v>C8</v>
      </c>
      <c r="C35" s="12">
        <f t="shared" si="4"/>
        <v>40</v>
      </c>
      <c r="D35" s="9" t="s">
        <v>38</v>
      </c>
      <c r="E35" s="9">
        <v>30</v>
      </c>
      <c r="F35" s="7" t="s">
        <v>169</v>
      </c>
      <c r="G35" s="9">
        <v>2</v>
      </c>
      <c r="H35" s="9" t="s">
        <v>34</v>
      </c>
      <c r="I35" s="9" t="s">
        <v>227</v>
      </c>
      <c r="J35" s="9" t="s">
        <v>34</v>
      </c>
      <c r="K35" s="12" t="str">
        <f t="shared" si="6"/>
        <v>25 | 28</v>
      </c>
      <c r="L35" s="12" t="str">
        <f t="shared" si="5"/>
        <v>CORRECTO</v>
      </c>
      <c r="M35" s="2"/>
      <c r="T35" s="2"/>
      <c r="U35" s="2"/>
      <c r="V35" s="2"/>
      <c r="W35" s="2"/>
      <c r="X35" s="2"/>
      <c r="Y35" s="2"/>
      <c r="Z35" s="2"/>
      <c r="AA35" s="2"/>
    </row>
    <row r="36" spans="1:27" s="3" customFormat="1" ht="13.2" x14ac:dyDescent="0.25">
      <c r="A36" s="16">
        <f t="shared" si="3"/>
        <v>10</v>
      </c>
      <c r="B36" s="13" t="str">
        <f t="shared" si="3"/>
        <v>C9</v>
      </c>
      <c r="C36" s="12">
        <f t="shared" si="4"/>
        <v>40</v>
      </c>
      <c r="D36" s="9" t="s">
        <v>38</v>
      </c>
      <c r="E36" s="9">
        <v>30</v>
      </c>
      <c r="F36" s="7" t="s">
        <v>169</v>
      </c>
      <c r="G36" s="9">
        <v>2</v>
      </c>
      <c r="H36" s="9" t="s">
        <v>34</v>
      </c>
      <c r="I36" s="9" t="s">
        <v>227</v>
      </c>
      <c r="J36" s="9" t="s">
        <v>34</v>
      </c>
      <c r="K36" s="12" t="str">
        <f t="shared" si="6"/>
        <v>25 | 28</v>
      </c>
      <c r="L36" s="12" t="str">
        <f t="shared" si="5"/>
        <v>CORRECTO</v>
      </c>
      <c r="M36" s="2"/>
      <c r="T36" s="2"/>
      <c r="U36" s="2"/>
      <c r="V36" s="2"/>
      <c r="W36" s="2"/>
      <c r="X36" s="2"/>
      <c r="Y36" s="2"/>
      <c r="Z36" s="2"/>
      <c r="AA36" s="2"/>
    </row>
    <row r="37" spans="1:27" s="3" customFormat="1" ht="13.2" x14ac:dyDescent="0.25">
      <c r="A37" s="16">
        <f t="shared" si="3"/>
        <v>11</v>
      </c>
      <c r="B37" s="13" t="str">
        <f t="shared" si="3"/>
        <v>C10</v>
      </c>
      <c r="C37" s="12">
        <f t="shared" si="4"/>
        <v>40</v>
      </c>
      <c r="D37" s="9" t="s">
        <v>38</v>
      </c>
      <c r="E37" s="9">
        <v>30</v>
      </c>
      <c r="F37" s="7" t="s">
        <v>169</v>
      </c>
      <c r="G37" s="9">
        <v>2</v>
      </c>
      <c r="H37" s="9" t="s">
        <v>34</v>
      </c>
      <c r="I37" s="9" t="s">
        <v>227</v>
      </c>
      <c r="J37" s="9" t="s">
        <v>34</v>
      </c>
      <c r="K37" s="12" t="str">
        <f t="shared" si="6"/>
        <v>16 | 16</v>
      </c>
      <c r="L37" s="12" t="str">
        <f t="shared" si="5"/>
        <v>CORRECTO</v>
      </c>
      <c r="M37" s="2"/>
      <c r="T37" s="2"/>
      <c r="U37" s="2"/>
      <c r="V37" s="2"/>
      <c r="W37" s="2"/>
      <c r="X37" s="2"/>
      <c r="Y37" s="2"/>
      <c r="Z37" s="2"/>
      <c r="AA37" s="2"/>
    </row>
    <row r="38" spans="1:27" s="3" customFormat="1" ht="13.2" x14ac:dyDescent="0.25">
      <c r="A38" s="16">
        <f t="shared" si="3"/>
        <v>12</v>
      </c>
      <c r="B38" s="13" t="str">
        <f t="shared" si="3"/>
        <v>C11</v>
      </c>
      <c r="C38" s="12">
        <f t="shared" si="4"/>
        <v>40</v>
      </c>
      <c r="D38" s="9" t="s">
        <v>38</v>
      </c>
      <c r="E38" s="9">
        <v>30</v>
      </c>
      <c r="F38" s="7" t="s">
        <v>169</v>
      </c>
      <c r="G38" s="9">
        <v>2</v>
      </c>
      <c r="H38" s="9" t="s">
        <v>34</v>
      </c>
      <c r="I38" s="9" t="s">
        <v>227</v>
      </c>
      <c r="J38" s="9" t="s">
        <v>34</v>
      </c>
      <c r="K38" s="12" t="str">
        <f t="shared" si="6"/>
        <v>10 | 12</v>
      </c>
      <c r="L38" s="12" t="str">
        <f t="shared" si="5"/>
        <v>CORRECTO</v>
      </c>
      <c r="M38" s="2"/>
      <c r="T38" s="2"/>
      <c r="U38" s="2"/>
      <c r="V38" s="2"/>
      <c r="W38" s="2"/>
      <c r="X38" s="2"/>
      <c r="Y38" s="2"/>
      <c r="Z38" s="2"/>
      <c r="AA38" s="2"/>
    </row>
    <row r="39" spans="1:27" s="3" customFormat="1" ht="13.2" x14ac:dyDescent="0.25">
      <c r="A39" s="16">
        <f t="shared" si="3"/>
        <v>13</v>
      </c>
      <c r="B39" s="13" t="str">
        <f t="shared" si="3"/>
        <v>C12</v>
      </c>
      <c r="C39" s="12">
        <f t="shared" si="4"/>
        <v>40</v>
      </c>
      <c r="D39" s="9" t="s">
        <v>38</v>
      </c>
      <c r="E39" s="9">
        <v>30</v>
      </c>
      <c r="F39" s="7" t="s">
        <v>169</v>
      </c>
      <c r="G39" s="9">
        <v>2</v>
      </c>
      <c r="H39" s="9" t="s">
        <v>34</v>
      </c>
      <c r="I39" s="9" t="s">
        <v>227</v>
      </c>
      <c r="J39" s="9" t="s">
        <v>34</v>
      </c>
      <c r="K39" s="12" t="str">
        <f t="shared" si="6"/>
        <v>25 | 28</v>
      </c>
      <c r="L39" s="12" t="str">
        <f t="shared" si="5"/>
        <v>CORRECTO</v>
      </c>
      <c r="M39" s="2"/>
      <c r="T39" s="2"/>
      <c r="U39" s="2"/>
      <c r="V39" s="2"/>
      <c r="W39" s="2"/>
      <c r="X39" s="2"/>
      <c r="Y39" s="2"/>
      <c r="Z39" s="2"/>
      <c r="AA39" s="2"/>
    </row>
    <row r="40" spans="1:27" s="3" customFormat="1" ht="13.2" x14ac:dyDescent="0.25">
      <c r="A40" s="16">
        <f t="shared" si="3"/>
        <v>14</v>
      </c>
      <c r="B40" s="13" t="str">
        <f t="shared" si="3"/>
        <v>C13</v>
      </c>
      <c r="C40" s="12">
        <f t="shared" si="4"/>
        <v>40</v>
      </c>
      <c r="D40" s="9" t="s">
        <v>37</v>
      </c>
      <c r="E40" s="9">
        <v>30</v>
      </c>
      <c r="F40" s="7" t="s">
        <v>169</v>
      </c>
      <c r="G40" s="9">
        <v>1</v>
      </c>
      <c r="H40" s="9" t="s">
        <v>34</v>
      </c>
      <c r="I40" s="9" t="s">
        <v>53</v>
      </c>
      <c r="J40" s="9" t="s">
        <v>34</v>
      </c>
      <c r="K40" s="12" t="str">
        <f t="shared" si="6"/>
        <v>40 | 74</v>
      </c>
      <c r="L40" s="12" t="str">
        <f t="shared" si="5"/>
        <v>CORRECTO</v>
      </c>
      <c r="M40" s="2"/>
      <c r="T40" s="2"/>
      <c r="U40" s="2"/>
      <c r="V40" s="2"/>
      <c r="W40" s="2"/>
      <c r="X40" s="2"/>
      <c r="Y40" s="2"/>
      <c r="Z40" s="2"/>
      <c r="AA40" s="2"/>
    </row>
    <row r="41" spans="1:27" s="3" customFormat="1" ht="13.2" x14ac:dyDescent="0.25">
      <c r="A41" s="16">
        <f t="shared" si="3"/>
        <v>15</v>
      </c>
      <c r="B41" s="13" t="str">
        <f t="shared" si="3"/>
        <v>C.FV</v>
      </c>
      <c r="C41" s="12">
        <f t="shared" si="4"/>
        <v>40</v>
      </c>
      <c r="D41" s="9" t="s">
        <v>37</v>
      </c>
      <c r="E41" s="9">
        <v>40</v>
      </c>
      <c r="F41" s="7" t="s">
        <v>169</v>
      </c>
      <c r="G41" s="9">
        <v>1</v>
      </c>
      <c r="H41" s="9" t="s">
        <v>34</v>
      </c>
      <c r="I41" s="9" t="s">
        <v>45</v>
      </c>
      <c r="J41" s="9" t="s">
        <v>34</v>
      </c>
      <c r="K41" s="12" t="str">
        <f t="shared" si="6"/>
        <v>40 | 54</v>
      </c>
      <c r="L41" s="12" t="str">
        <f t="shared" si="5"/>
        <v>CORRECTO</v>
      </c>
      <c r="M41" s="2"/>
      <c r="T41" s="2"/>
      <c r="U41" s="2"/>
      <c r="V41" s="2"/>
      <c r="W41" s="2"/>
      <c r="X41" s="2"/>
      <c r="Y41" s="2"/>
      <c r="Z41" s="2"/>
      <c r="AA41" s="2"/>
    </row>
    <row r="42" spans="1:27" s="3" customFormat="1" ht="13.2" x14ac:dyDescent="0.25">
      <c r="A42" s="16" t="str">
        <f t="shared" si="3"/>
        <v/>
      </c>
      <c r="B42" s="13" t="str">
        <f t="shared" si="3"/>
        <v/>
      </c>
      <c r="C42" s="12" t="str">
        <f t="shared" si="4"/>
        <v/>
      </c>
      <c r="D42" s="9"/>
      <c r="E42" s="9"/>
      <c r="F42" s="7"/>
      <c r="G42" s="9"/>
      <c r="H42" s="9"/>
      <c r="I42" s="9"/>
      <c r="J42" s="9"/>
      <c r="K42" s="12" t="str">
        <f t="shared" si="6"/>
        <v/>
      </c>
      <c r="L42" s="12" t="str">
        <f t="shared" si="5"/>
        <v/>
      </c>
      <c r="M42" s="2"/>
      <c r="T42" s="2"/>
      <c r="U42" s="2"/>
      <c r="V42" s="2"/>
      <c r="W42" s="2"/>
      <c r="X42" s="2"/>
      <c r="Y42" s="2"/>
      <c r="Z42" s="2"/>
      <c r="AA42" s="2"/>
    </row>
    <row r="43" spans="1:27" s="3" customFormat="1" ht="13.2" x14ac:dyDescent="0.25">
      <c r="A43" s="16" t="str">
        <f t="shared" ref="A43:B46" si="7">IF(A19=0,"",A19)</f>
        <v/>
      </c>
      <c r="B43" s="13" t="str">
        <f t="shared" si="7"/>
        <v/>
      </c>
      <c r="C43" s="12" t="str">
        <f t="shared" si="4"/>
        <v/>
      </c>
      <c r="D43" s="9"/>
      <c r="E43" s="9"/>
      <c r="F43" s="7"/>
      <c r="G43" s="9"/>
      <c r="H43" s="9"/>
      <c r="I43" s="9"/>
      <c r="J43" s="9"/>
      <c r="K43" s="12" t="str">
        <f t="shared" si="6"/>
        <v/>
      </c>
      <c r="L43" s="12" t="str">
        <f t="shared" si="5"/>
        <v/>
      </c>
      <c r="M43" s="2"/>
      <c r="T43" s="2"/>
      <c r="U43" s="2"/>
      <c r="V43" s="2"/>
      <c r="W43" s="2"/>
      <c r="X43" s="2"/>
      <c r="Y43" s="2"/>
      <c r="Z43" s="2"/>
      <c r="AA43" s="2"/>
    </row>
    <row r="44" spans="1:27" s="3" customFormat="1" ht="13.2" x14ac:dyDescent="0.25">
      <c r="A44" s="16" t="str">
        <f t="shared" si="7"/>
        <v/>
      </c>
      <c r="B44" s="13" t="str">
        <f t="shared" si="7"/>
        <v/>
      </c>
      <c r="C44" s="12" t="str">
        <f t="shared" si="4"/>
        <v/>
      </c>
      <c r="D44" s="9"/>
      <c r="E44" s="9"/>
      <c r="F44" s="7"/>
      <c r="G44" s="9"/>
      <c r="H44" s="9"/>
      <c r="I44" s="9"/>
      <c r="J44" s="9"/>
      <c r="K44" s="12" t="str">
        <f t="shared" si="6"/>
        <v/>
      </c>
      <c r="L44" s="12" t="str">
        <f t="shared" si="5"/>
        <v/>
      </c>
      <c r="M44" s="2"/>
      <c r="T44" s="2"/>
      <c r="U44" s="2"/>
      <c r="V44" s="2"/>
      <c r="W44" s="2"/>
      <c r="X44" s="2"/>
      <c r="Y44" s="2"/>
      <c r="Z44" s="2"/>
      <c r="AA44" s="2"/>
    </row>
    <row r="45" spans="1:27" s="3" customFormat="1" ht="13.2" x14ac:dyDescent="0.25">
      <c r="A45" s="16" t="str">
        <f t="shared" si="7"/>
        <v/>
      </c>
      <c r="B45" s="13" t="str">
        <f t="shared" si="7"/>
        <v/>
      </c>
      <c r="C45" s="12" t="str">
        <f t="shared" si="4"/>
        <v/>
      </c>
      <c r="D45" s="9"/>
      <c r="E45" s="9"/>
      <c r="F45" s="7"/>
      <c r="G45" s="9"/>
      <c r="H45" s="9"/>
      <c r="I45" s="9"/>
      <c r="J45" s="9"/>
      <c r="K45" s="12" t="str">
        <f t="shared" si="6"/>
        <v/>
      </c>
      <c r="L45" s="12" t="str">
        <f t="shared" si="5"/>
        <v/>
      </c>
      <c r="M45" s="2"/>
      <c r="T45" s="2"/>
      <c r="U45" s="2"/>
      <c r="V45" s="2"/>
      <c r="W45" s="2"/>
      <c r="X45" s="2"/>
      <c r="Y45" s="2"/>
      <c r="Z45" s="2"/>
      <c r="AA45" s="2"/>
    </row>
    <row r="46" spans="1:27" s="3" customFormat="1" ht="13.2" x14ac:dyDescent="0.25">
      <c r="A46" s="16" t="str">
        <f t="shared" si="7"/>
        <v/>
      </c>
      <c r="B46" s="13" t="str">
        <f t="shared" si="7"/>
        <v/>
      </c>
      <c r="C46" s="12" t="str">
        <f t="shared" si="4"/>
        <v/>
      </c>
      <c r="D46" s="9"/>
      <c r="E46" s="9"/>
      <c r="F46" s="7"/>
      <c r="G46" s="9"/>
      <c r="H46" s="9"/>
      <c r="I46" s="9"/>
      <c r="J46" s="9"/>
      <c r="K46" s="12" t="str">
        <f t="shared" si="6"/>
        <v/>
      </c>
      <c r="L46" s="12" t="str">
        <f t="shared" si="5"/>
        <v/>
      </c>
      <c r="M46" s="2"/>
      <c r="T46" s="2"/>
      <c r="U46" s="2"/>
      <c r="V46" s="2"/>
      <c r="W46" s="2"/>
      <c r="X46" s="2"/>
      <c r="Y46" s="2"/>
      <c r="Z46" s="2"/>
      <c r="AA46" s="2"/>
    </row>
    <row r="47" spans="1:27" s="3" customFormat="1" ht="13.2" x14ac:dyDescent="0.25">
      <c r="A47" s="132" t="s">
        <v>56</v>
      </c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s="3" customFormat="1" ht="26.4" x14ac:dyDescent="0.25">
      <c r="A48" s="4" t="s">
        <v>0</v>
      </c>
      <c r="B48" s="4" t="s">
        <v>190</v>
      </c>
      <c r="C48" s="4" t="s">
        <v>69</v>
      </c>
      <c r="D48" s="4" t="s">
        <v>8</v>
      </c>
      <c r="E48" s="4" t="s">
        <v>9</v>
      </c>
      <c r="F48" s="4" t="s">
        <v>10</v>
      </c>
      <c r="G48" s="4" t="s">
        <v>11</v>
      </c>
      <c r="H48" s="4" t="s">
        <v>66</v>
      </c>
      <c r="I48" s="4" t="s">
        <v>67</v>
      </c>
      <c r="J48" s="4" t="s">
        <v>197</v>
      </c>
      <c r="K48" s="4" t="s">
        <v>188</v>
      </c>
      <c r="L48" s="4" t="s">
        <v>23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s="3" customFormat="1" ht="13.2" x14ac:dyDescent="0.25">
      <c r="A49" s="17">
        <f t="shared" ref="A49:B64" si="8">IF(A3=0,"",A3)</f>
        <v>1</v>
      </c>
      <c r="B49" s="14" t="str">
        <f t="shared" si="8"/>
        <v>DI</v>
      </c>
      <c r="C49" s="14">
        <f>IF(A49="","",INDEX(BASE!A$112:BU$128,MATCH(DATOS!C3,BASE!A$113:A$128,0)+1,MATCH(DATOS!J3&amp;DATOS!D27&amp;DATOS!G3&amp;DATOS!F3,BASE!B$112:BU$112,0)+1)*E3)</f>
        <v>91</v>
      </c>
      <c r="D49" s="14">
        <f t="shared" ref="D49:D68" si="9">IF(A49="","",SQRT((K3-E27)/(K3-C27)))</f>
        <v>1</v>
      </c>
      <c r="E49" s="14">
        <f>IF(A49="","",VLOOKUP(F27,BASE!C$28:D$35,2,FALSE))</f>
        <v>1</v>
      </c>
      <c r="F49" s="14">
        <f>IF(A49="","",INDEX(BASE!A$51:J$72,MATCH(DATOS!G27,BASE!A$51:A$72,0),MATCH(DATOS!D27,BASE!A$51:J$51,0)))</f>
        <v>1</v>
      </c>
      <c r="G49" s="14">
        <f>IF(A49="","",VLOOKUP(H27,BASE!F$28:G$30,2,FALSE))</f>
        <v>1</v>
      </c>
      <c r="H49" s="14">
        <f>IF(A49="","",VLOOKUP(I27,BASE!H$28:J$48,2,FALSE))</f>
        <v>1</v>
      </c>
      <c r="I49" s="14">
        <f>IF(A49="","",VLOOKUP(J27,BASE!K$28:L$30,2,FALSE))</f>
        <v>1</v>
      </c>
      <c r="J49" s="14">
        <f>IF(A49="","",D49*E49*F49*G49*H49*I49)</f>
        <v>1</v>
      </c>
      <c r="K49" s="14">
        <f>IF(A49="","",C49*J49)</f>
        <v>91</v>
      </c>
      <c r="L49" s="14">
        <f t="shared" ref="L49:L68" si="10">IF(A49="","",I3)</f>
        <v>40</v>
      </c>
      <c r="N49" s="9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s="3" customFormat="1" ht="13.2" x14ac:dyDescent="0.25">
      <c r="A50" s="17">
        <f t="shared" si="8"/>
        <v>2</v>
      </c>
      <c r="B50" s="14" t="str">
        <f t="shared" si="8"/>
        <v>C1</v>
      </c>
      <c r="C50" s="14">
        <f>IF(A50="","",INDEX(BASE!A$112:BU$128,MATCH(DATOS!C4,BASE!A$113:A$128,0)+1,MATCH(DATOS!J4&amp;DATOS!D28&amp;DATOS!G4&amp;DATOS!F4,BASE!B$112:BU$112,0)+1)*E4)</f>
        <v>13.5</v>
      </c>
      <c r="D50" s="14">
        <f t="shared" si="9"/>
        <v>1.1547005383792515</v>
      </c>
      <c r="E50" s="14">
        <f>IF(A50="","",VLOOKUP(F28,BASE!C$28:D$35,2,FALSE))</f>
        <v>1</v>
      </c>
      <c r="F50" s="14">
        <f>IF(A50="","",INDEX(BASE!A$51:J$72,MATCH(DATOS!G28,BASE!A$51:A$72,0),MATCH(DATOS!D28,BASE!A$51:J$51,0)))</f>
        <v>0.8</v>
      </c>
      <c r="G50" s="14">
        <f>IF(A50="","",VLOOKUP(H28,BASE!F$28:G$30,2,FALSE))</f>
        <v>1</v>
      </c>
      <c r="H50" s="14">
        <f>IF(A50="","",VLOOKUP(I28,BASE!H$28:J$48,2,FALSE))</f>
        <v>1</v>
      </c>
      <c r="I50" s="14">
        <f>IF(A50="","",VLOOKUP(J28,BASE!K$28:L$30,2,FALSE))</f>
        <v>1</v>
      </c>
      <c r="J50" s="14">
        <f t="shared" ref="J50:J68" si="11">IF(A50="","",D50*E50*F50*G50*H50*I50)</f>
        <v>0.92376043070340119</v>
      </c>
      <c r="K50" s="14">
        <f t="shared" ref="K50:K68" si="12">IF(A50="","",C50*J50)</f>
        <v>12.470765814495916</v>
      </c>
      <c r="L50" s="14">
        <f t="shared" si="10"/>
        <v>10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s="3" customFormat="1" ht="13.2" x14ac:dyDescent="0.25">
      <c r="A51" s="17">
        <f t="shared" si="8"/>
        <v>3</v>
      </c>
      <c r="B51" s="14" t="str">
        <f t="shared" si="8"/>
        <v>C2</v>
      </c>
      <c r="C51" s="14">
        <f>IF(A51="","",INDEX(BASE!A$112:BU$128,MATCH(DATOS!C5,BASE!A$113:A$128,0)+1,MATCH(DATOS!J5&amp;DATOS!D29&amp;DATOS!G5&amp;DATOS!F5,BASE!B$112:BU$112,0)+1)*E5)</f>
        <v>18</v>
      </c>
      <c r="D51" s="14">
        <f t="shared" si="9"/>
        <v>1.1547005383792515</v>
      </c>
      <c r="E51" s="14">
        <f>IF(A51="","",VLOOKUP(F29,BASE!C$28:D$35,2,FALSE))</f>
        <v>1</v>
      </c>
      <c r="F51" s="14">
        <f>IF(A51="","",INDEX(BASE!A$51:J$72,MATCH(DATOS!G29,BASE!A$51:A$72,0),MATCH(DATOS!D29,BASE!A$51:J$51,0)))</f>
        <v>0.8</v>
      </c>
      <c r="G51" s="14">
        <f>IF(A51="","",VLOOKUP(H29,BASE!F$28:G$30,2,FALSE))</f>
        <v>1</v>
      </c>
      <c r="H51" s="14">
        <f>IF(A51="","",VLOOKUP(I29,BASE!H$28:J$48,2,FALSE))</f>
        <v>1</v>
      </c>
      <c r="I51" s="14">
        <f>IF(A51="","",VLOOKUP(J29,BASE!K$28:L$30,2,FALSE))</f>
        <v>1</v>
      </c>
      <c r="J51" s="14">
        <f t="shared" si="11"/>
        <v>0.92376043070340119</v>
      </c>
      <c r="K51" s="14">
        <f t="shared" si="12"/>
        <v>16.62768775266122</v>
      </c>
      <c r="L51" s="14">
        <f t="shared" si="10"/>
        <v>16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s="3" customFormat="1" ht="13.2" x14ac:dyDescent="0.25">
      <c r="A52" s="17">
        <f t="shared" si="8"/>
        <v>4</v>
      </c>
      <c r="B52" s="14" t="str">
        <f t="shared" si="8"/>
        <v>C3</v>
      </c>
      <c r="C52" s="14">
        <f>IF(A52="","",INDEX(BASE!A$112:BU$128,MATCH(DATOS!C6,BASE!A$113:A$128,0)+1,MATCH(DATOS!J6&amp;DATOS!D30&amp;DATOS!G6&amp;DATOS!F6,BASE!B$112:BU$112,0)+1)*E6)</f>
        <v>31</v>
      </c>
      <c r="D52" s="14">
        <f t="shared" si="9"/>
        <v>1.1547005383792515</v>
      </c>
      <c r="E52" s="14">
        <f>IF(A52="","",VLOOKUP(F30,BASE!C$28:D$35,2,FALSE))</f>
        <v>1</v>
      </c>
      <c r="F52" s="14">
        <f>IF(A52="","",INDEX(BASE!A$51:J$72,MATCH(DATOS!G30,BASE!A$51:A$72,0),MATCH(DATOS!D30,BASE!A$51:J$51,0)))</f>
        <v>0.8</v>
      </c>
      <c r="G52" s="14">
        <f>IF(A52="","",VLOOKUP(H30,BASE!F$28:G$30,2,FALSE))</f>
        <v>1</v>
      </c>
      <c r="H52" s="14">
        <f>IF(A52="","",VLOOKUP(I30,BASE!H$28:J$48,2,FALSE))</f>
        <v>1</v>
      </c>
      <c r="I52" s="14">
        <f>IF(A52="","",VLOOKUP(J30,BASE!K$28:L$30,2,FALSE))</f>
        <v>1</v>
      </c>
      <c r="J52" s="14">
        <f t="shared" si="11"/>
        <v>0.92376043070340119</v>
      </c>
      <c r="K52" s="14">
        <f t="shared" si="12"/>
        <v>28.636573351805438</v>
      </c>
      <c r="L52" s="14">
        <f t="shared" si="10"/>
        <v>25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s="3" customFormat="1" ht="13.2" x14ac:dyDescent="0.25">
      <c r="A53" s="17">
        <f t="shared" si="8"/>
        <v>5</v>
      </c>
      <c r="B53" s="14" t="str">
        <f t="shared" si="8"/>
        <v>C4</v>
      </c>
      <c r="C53" s="14">
        <f>IF(A53="","",INDEX(BASE!A$112:BU$128,MATCH(DATOS!C7,BASE!A$113:A$128,0)+1,MATCH(DATOS!J7&amp;DATOS!D31&amp;DATOS!G7&amp;DATOS!F7,BASE!B$112:BU$112,0)+1)*E7)</f>
        <v>24</v>
      </c>
      <c r="D53" s="14">
        <f t="shared" si="9"/>
        <v>1.1547005383792515</v>
      </c>
      <c r="E53" s="14">
        <f>IF(A53="","",VLOOKUP(F31,BASE!C$28:D$35,2,FALSE))</f>
        <v>1</v>
      </c>
      <c r="F53" s="14">
        <f>IF(A53="","",INDEX(BASE!A$51:J$72,MATCH(DATOS!G31,BASE!A$51:A$72,0),MATCH(DATOS!D31,BASE!A$51:J$51,0)))</f>
        <v>0.8</v>
      </c>
      <c r="G53" s="14">
        <f>IF(A53="","",VLOOKUP(H31,BASE!F$28:G$30,2,FALSE))</f>
        <v>1</v>
      </c>
      <c r="H53" s="14">
        <f>IF(A53="","",VLOOKUP(I31,BASE!H$28:J$48,2,FALSE))</f>
        <v>1</v>
      </c>
      <c r="I53" s="14">
        <f>IF(A53="","",VLOOKUP(J31,BASE!K$28:L$30,2,FALSE))</f>
        <v>1</v>
      </c>
      <c r="J53" s="14">
        <f t="shared" si="11"/>
        <v>0.92376043070340119</v>
      </c>
      <c r="K53" s="14">
        <f t="shared" si="12"/>
        <v>22.170250336881629</v>
      </c>
      <c r="L53" s="14">
        <f t="shared" si="10"/>
        <v>20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s="3" customFormat="1" ht="13.2" x14ac:dyDescent="0.25">
      <c r="A54" s="17">
        <f t="shared" si="8"/>
        <v>6</v>
      </c>
      <c r="B54" s="14" t="str">
        <f t="shared" si="8"/>
        <v>C5</v>
      </c>
      <c r="C54" s="14">
        <f>IF(A54="","",INDEX(BASE!A$112:BU$128,MATCH(DATOS!C8,BASE!A$113:A$128,0)+1,MATCH(DATOS!J8&amp;DATOS!D32&amp;DATOS!G8&amp;DATOS!F8,BASE!B$112:BU$112,0)+1)*E8)</f>
        <v>18</v>
      </c>
      <c r="D54" s="14">
        <f t="shared" si="9"/>
        <v>1.1547005383792515</v>
      </c>
      <c r="E54" s="14">
        <f>IF(A54="","",VLOOKUP(F32,BASE!C$28:D$35,2,FALSE))</f>
        <v>1</v>
      </c>
      <c r="F54" s="14">
        <f>IF(A54="","",INDEX(BASE!A$51:J$72,MATCH(DATOS!G32,BASE!A$51:A$72,0),MATCH(DATOS!D32,BASE!A$51:J$51,0)))</f>
        <v>0.8</v>
      </c>
      <c r="G54" s="14">
        <f>IF(A54="","",VLOOKUP(H32,BASE!F$28:G$30,2,FALSE))</f>
        <v>1</v>
      </c>
      <c r="H54" s="14">
        <f>IF(A54="","",VLOOKUP(I32,BASE!H$28:J$48,2,FALSE))</f>
        <v>1</v>
      </c>
      <c r="I54" s="14">
        <f>IF(A54="","",VLOOKUP(J32,BASE!K$28:L$30,2,FALSE))</f>
        <v>1</v>
      </c>
      <c r="J54" s="14">
        <f t="shared" si="11"/>
        <v>0.92376043070340119</v>
      </c>
      <c r="K54" s="14">
        <f t="shared" si="12"/>
        <v>16.62768775266122</v>
      </c>
      <c r="L54" s="14">
        <f t="shared" si="10"/>
        <v>16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s="3" customFormat="1" ht="13.2" x14ac:dyDescent="0.25">
      <c r="A55" s="17">
        <f t="shared" si="8"/>
        <v>7</v>
      </c>
      <c r="B55" s="14" t="str">
        <f t="shared" si="8"/>
        <v>C6</v>
      </c>
      <c r="C55" s="14">
        <f>IF(A55="","",INDEX(BASE!A$112:BU$128,MATCH(DATOS!C9,BASE!A$113:A$128,0)+1,MATCH(DATOS!J9&amp;DATOS!D33&amp;DATOS!G9&amp;DATOS!F9,BASE!B$112:BU$112,0)+1)*E9)</f>
        <v>13.5</v>
      </c>
      <c r="D55" s="14">
        <f t="shared" si="9"/>
        <v>1.1547005383792515</v>
      </c>
      <c r="E55" s="14">
        <f>IF(A55="","",VLOOKUP(F33,BASE!C$28:D$35,2,FALSE))</f>
        <v>1</v>
      </c>
      <c r="F55" s="14">
        <f>IF(A55="","",INDEX(BASE!A$51:J$72,MATCH(DATOS!G33,BASE!A$51:A$72,0),MATCH(DATOS!D33,BASE!A$51:J$51,0)))</f>
        <v>0.8</v>
      </c>
      <c r="G55" s="14">
        <f>IF(A55="","",VLOOKUP(H33,BASE!F$28:G$30,2,FALSE))</f>
        <v>1</v>
      </c>
      <c r="H55" s="14">
        <f>IF(A55="","",VLOOKUP(I33,BASE!H$28:J$48,2,FALSE))</f>
        <v>1</v>
      </c>
      <c r="I55" s="14">
        <f>IF(A55="","",VLOOKUP(J33,BASE!K$28:L$30,2,FALSE))</f>
        <v>1</v>
      </c>
      <c r="J55" s="14">
        <f t="shared" si="11"/>
        <v>0.92376043070340119</v>
      </c>
      <c r="K55" s="14">
        <f t="shared" si="12"/>
        <v>12.470765814495916</v>
      </c>
      <c r="L55" s="14">
        <f t="shared" si="10"/>
        <v>10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s="3" customFormat="1" ht="13.2" x14ac:dyDescent="0.25">
      <c r="A56" s="17">
        <f t="shared" si="8"/>
        <v>8</v>
      </c>
      <c r="B56" s="14" t="str">
        <f t="shared" si="8"/>
        <v>C7</v>
      </c>
      <c r="C56" s="14">
        <f>IF(A56="","",INDEX(BASE!A$112:BU$128,MATCH(DATOS!C10,BASE!A$113:A$128,0)+1,MATCH(DATOS!J10&amp;DATOS!D34&amp;DATOS!G10&amp;DATOS!F10,BASE!B$112:BU$112,0)+1)*E10)</f>
        <v>18</v>
      </c>
      <c r="D56" s="14">
        <f t="shared" si="9"/>
        <v>1.1547005383792515</v>
      </c>
      <c r="E56" s="14">
        <f>IF(A56="","",VLOOKUP(F34,BASE!C$28:D$35,2,FALSE))</f>
        <v>1</v>
      </c>
      <c r="F56" s="14">
        <f>IF(A56="","",INDEX(BASE!A$51:J$72,MATCH(DATOS!G34,BASE!A$51:A$72,0),MATCH(DATOS!D34,BASE!A$51:J$51,0)))</f>
        <v>0.8</v>
      </c>
      <c r="G56" s="14">
        <f>IF(A56="","",VLOOKUP(H34,BASE!F$28:G$30,2,FALSE))</f>
        <v>1</v>
      </c>
      <c r="H56" s="14">
        <f>IF(A56="","",VLOOKUP(I34,BASE!H$28:J$48,2,FALSE))</f>
        <v>1</v>
      </c>
      <c r="I56" s="14">
        <f>IF(A56="","",VLOOKUP(J34,BASE!K$28:L$30,2,FALSE))</f>
        <v>1</v>
      </c>
      <c r="J56" s="14">
        <f t="shared" si="11"/>
        <v>0.92376043070340119</v>
      </c>
      <c r="K56" s="14">
        <f t="shared" si="12"/>
        <v>16.62768775266122</v>
      </c>
      <c r="L56" s="14">
        <f t="shared" si="10"/>
        <v>16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s="3" customFormat="1" ht="13.2" x14ac:dyDescent="0.25">
      <c r="A57" s="17">
        <f t="shared" si="8"/>
        <v>9</v>
      </c>
      <c r="B57" s="14" t="str">
        <f t="shared" si="8"/>
        <v>C8</v>
      </c>
      <c r="C57" s="14">
        <f>IF(A57="","",INDEX(BASE!A$112:BU$128,MATCH(DATOS!C11,BASE!A$113:A$128,0)+1,MATCH(DATOS!J11&amp;DATOS!D35&amp;DATOS!G11&amp;DATOS!F11,BASE!B$112:BU$112,0)+1)*E11)</f>
        <v>31</v>
      </c>
      <c r="D57" s="14">
        <f t="shared" si="9"/>
        <v>1.1547005383792515</v>
      </c>
      <c r="E57" s="14">
        <f>IF(A57="","",VLOOKUP(F35,BASE!C$28:D$35,2,FALSE))</f>
        <v>1</v>
      </c>
      <c r="F57" s="14">
        <f>IF(A57="","",INDEX(BASE!A$51:J$72,MATCH(DATOS!G35,BASE!A$51:A$72,0),MATCH(DATOS!D35,BASE!A$51:J$51,0)))</f>
        <v>0.8</v>
      </c>
      <c r="G57" s="14">
        <f>IF(A57="","",VLOOKUP(H35,BASE!F$28:G$30,2,FALSE))</f>
        <v>1</v>
      </c>
      <c r="H57" s="14">
        <f>IF(A57="","",VLOOKUP(I35,BASE!H$28:J$48,2,FALSE))</f>
        <v>1</v>
      </c>
      <c r="I57" s="14">
        <f>IF(A57="","",VLOOKUP(J35,BASE!K$28:L$30,2,FALSE))</f>
        <v>1</v>
      </c>
      <c r="J57" s="14">
        <f t="shared" si="11"/>
        <v>0.92376043070340119</v>
      </c>
      <c r="K57" s="14">
        <f t="shared" si="12"/>
        <v>28.636573351805438</v>
      </c>
      <c r="L57" s="14">
        <f t="shared" si="10"/>
        <v>25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s="3" customFormat="1" ht="13.2" x14ac:dyDescent="0.25">
      <c r="A58" s="17">
        <f t="shared" si="8"/>
        <v>10</v>
      </c>
      <c r="B58" s="14" t="str">
        <f t="shared" si="8"/>
        <v>C9</v>
      </c>
      <c r="C58" s="14">
        <f>IF(A58="","",INDEX(BASE!A$112:BU$128,MATCH(DATOS!C12,BASE!A$113:A$128,0)+1,MATCH(DATOS!J12&amp;DATOS!D36&amp;DATOS!G12&amp;DATOS!F12,BASE!B$112:BU$112,0)+1)*E12)</f>
        <v>31</v>
      </c>
      <c r="D58" s="14">
        <f t="shared" si="9"/>
        <v>1.1547005383792515</v>
      </c>
      <c r="E58" s="14">
        <f>IF(A58="","",VLOOKUP(F36,BASE!C$28:D$35,2,FALSE))</f>
        <v>1</v>
      </c>
      <c r="F58" s="14">
        <f>IF(A58="","",INDEX(BASE!A$51:J$72,MATCH(DATOS!G36,BASE!A$51:A$72,0),MATCH(DATOS!D36,BASE!A$51:J$51,0)))</f>
        <v>0.8</v>
      </c>
      <c r="G58" s="14">
        <f>IF(A58="","",VLOOKUP(H36,BASE!F$28:G$30,2,FALSE))</f>
        <v>1</v>
      </c>
      <c r="H58" s="14">
        <f>IF(A58="","",VLOOKUP(I36,BASE!H$28:J$48,2,FALSE))</f>
        <v>1</v>
      </c>
      <c r="I58" s="14">
        <f>IF(A58="","",VLOOKUP(J36,BASE!K$28:L$30,2,FALSE))</f>
        <v>1</v>
      </c>
      <c r="J58" s="14">
        <f t="shared" si="11"/>
        <v>0.92376043070340119</v>
      </c>
      <c r="K58" s="14">
        <f t="shared" si="12"/>
        <v>28.636573351805438</v>
      </c>
      <c r="L58" s="14">
        <f t="shared" si="10"/>
        <v>25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s="3" customFormat="1" ht="13.2" x14ac:dyDescent="0.25">
      <c r="A59" s="17">
        <f t="shared" si="8"/>
        <v>11</v>
      </c>
      <c r="B59" s="14" t="str">
        <f t="shared" si="8"/>
        <v>C10</v>
      </c>
      <c r="C59" s="14">
        <f>IF(A59="","",INDEX(BASE!A$112:BU$128,MATCH(DATOS!C13,BASE!A$113:A$128,0)+1,MATCH(DATOS!J13&amp;DATOS!D37&amp;DATOS!G13&amp;DATOS!F13,BASE!B$112:BU$112,0)+1)*E13)</f>
        <v>18</v>
      </c>
      <c r="D59" s="14">
        <f t="shared" si="9"/>
        <v>1.1547005383792515</v>
      </c>
      <c r="E59" s="14">
        <f>IF(A59="","",VLOOKUP(F37,BASE!C$28:D$35,2,FALSE))</f>
        <v>1</v>
      </c>
      <c r="F59" s="14">
        <f>IF(A59="","",INDEX(BASE!A$51:J$72,MATCH(DATOS!G37,BASE!A$51:A$72,0),MATCH(DATOS!D37,BASE!A$51:J$51,0)))</f>
        <v>0.8</v>
      </c>
      <c r="G59" s="14">
        <f>IF(A59="","",VLOOKUP(H37,BASE!F$28:G$30,2,FALSE))</f>
        <v>1</v>
      </c>
      <c r="H59" s="14">
        <f>IF(A59="","",VLOOKUP(I37,BASE!H$28:J$48,2,FALSE))</f>
        <v>1</v>
      </c>
      <c r="I59" s="14">
        <f>IF(A59="","",VLOOKUP(J37,BASE!K$28:L$30,2,FALSE))</f>
        <v>1</v>
      </c>
      <c r="J59" s="14">
        <f t="shared" si="11"/>
        <v>0.92376043070340119</v>
      </c>
      <c r="K59" s="14">
        <f t="shared" si="12"/>
        <v>16.62768775266122</v>
      </c>
      <c r="L59" s="14">
        <f t="shared" si="10"/>
        <v>16</v>
      </c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s="3" customFormat="1" ht="13.2" x14ac:dyDescent="0.25">
      <c r="A60" s="17">
        <f t="shared" si="8"/>
        <v>12</v>
      </c>
      <c r="B60" s="14" t="str">
        <f t="shared" si="8"/>
        <v>C11</v>
      </c>
      <c r="C60" s="14">
        <f>IF(A60="","",INDEX(BASE!A$112:BU$128,MATCH(DATOS!C14,BASE!A$113:A$128,0)+1,MATCH(DATOS!J14&amp;DATOS!D38&amp;DATOS!G14&amp;DATOS!F14,BASE!B$112:BU$112,0)+1)*E14)</f>
        <v>13.5</v>
      </c>
      <c r="D60" s="14">
        <f t="shared" si="9"/>
        <v>1.1547005383792515</v>
      </c>
      <c r="E60" s="14">
        <f>IF(A60="","",VLOOKUP(F38,BASE!C$28:D$35,2,FALSE))</f>
        <v>1</v>
      </c>
      <c r="F60" s="14">
        <f>IF(A60="","",INDEX(BASE!A$51:J$72,MATCH(DATOS!G38,BASE!A$51:A$72,0),MATCH(DATOS!D38,BASE!A$51:J$51,0)))</f>
        <v>0.8</v>
      </c>
      <c r="G60" s="14">
        <f>IF(A60="","",VLOOKUP(H38,BASE!F$28:G$30,2,FALSE))</f>
        <v>1</v>
      </c>
      <c r="H60" s="14">
        <f>IF(A60="","",VLOOKUP(I38,BASE!H$28:J$48,2,FALSE))</f>
        <v>1</v>
      </c>
      <c r="I60" s="14">
        <f>IF(A60="","",VLOOKUP(J38,BASE!K$28:L$30,2,FALSE))</f>
        <v>1</v>
      </c>
      <c r="J60" s="14">
        <f t="shared" si="11"/>
        <v>0.92376043070340119</v>
      </c>
      <c r="K60" s="14">
        <f t="shared" si="12"/>
        <v>12.470765814495916</v>
      </c>
      <c r="L60" s="14">
        <f t="shared" si="10"/>
        <v>10</v>
      </c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s="3" customFormat="1" ht="13.2" x14ac:dyDescent="0.25">
      <c r="A61" s="17">
        <f t="shared" si="8"/>
        <v>13</v>
      </c>
      <c r="B61" s="14" t="str">
        <f t="shared" si="8"/>
        <v>C12</v>
      </c>
      <c r="C61" s="14">
        <f>IF(A61="","",INDEX(BASE!A$112:BU$128,MATCH(DATOS!C15,BASE!A$113:A$128,0)+1,MATCH(DATOS!J15&amp;DATOS!D39&amp;DATOS!G15&amp;DATOS!F15,BASE!B$112:BU$112,0)+1)*E15)</f>
        <v>31</v>
      </c>
      <c r="D61" s="14">
        <f t="shared" si="9"/>
        <v>1.1547005383792515</v>
      </c>
      <c r="E61" s="14">
        <f>IF(A61="","",VLOOKUP(F39,BASE!C$28:D$35,2,FALSE))</f>
        <v>1</v>
      </c>
      <c r="F61" s="14">
        <f>IF(A61="","",INDEX(BASE!A$51:J$72,MATCH(DATOS!G39,BASE!A$51:A$72,0),MATCH(DATOS!D39,BASE!A$51:J$51,0)))</f>
        <v>0.8</v>
      </c>
      <c r="G61" s="14">
        <f>IF(A61="","",VLOOKUP(H39,BASE!F$28:G$30,2,FALSE))</f>
        <v>1</v>
      </c>
      <c r="H61" s="14">
        <f>IF(A61="","",VLOOKUP(I39,BASE!H$28:J$48,2,FALSE))</f>
        <v>1</v>
      </c>
      <c r="I61" s="14">
        <f>IF(A61="","",VLOOKUP(J39,BASE!K$28:L$30,2,FALSE))</f>
        <v>1</v>
      </c>
      <c r="J61" s="14">
        <f t="shared" si="11"/>
        <v>0.92376043070340119</v>
      </c>
      <c r="K61" s="14">
        <f t="shared" si="12"/>
        <v>28.636573351805438</v>
      </c>
      <c r="L61" s="14">
        <f t="shared" si="10"/>
        <v>25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s="3" customFormat="1" ht="13.2" x14ac:dyDescent="0.25">
      <c r="A62" s="17">
        <f t="shared" si="8"/>
        <v>14</v>
      </c>
      <c r="B62" s="14" t="str">
        <f t="shared" si="8"/>
        <v>C13</v>
      </c>
      <c r="C62" s="14">
        <f>IF(A62="","",INDEX(BASE!A$112:BU$128,MATCH(DATOS!C16,BASE!A$113:A$128,0)+1,MATCH(DATOS!J16&amp;DATOS!D40&amp;DATOS!G16&amp;DATOS!F16,BASE!B$112:BU$112,0)+1)*E16)</f>
        <v>68</v>
      </c>
      <c r="D62" s="14">
        <f t="shared" si="9"/>
        <v>1.0954451150103321</v>
      </c>
      <c r="E62" s="14">
        <f>IF(A62="","",VLOOKUP(F40,BASE!C$28:D$35,2,FALSE))</f>
        <v>1</v>
      </c>
      <c r="F62" s="14">
        <f>IF(A62="","",INDEX(BASE!A$51:J$72,MATCH(DATOS!G40,BASE!A$51:A$72,0),MATCH(DATOS!D40,BASE!A$51:J$51,0)))</f>
        <v>1</v>
      </c>
      <c r="G62" s="14">
        <f>IF(A62="","",VLOOKUP(H40,BASE!F$28:G$30,2,FALSE))</f>
        <v>1</v>
      </c>
      <c r="H62" s="14">
        <f>IF(A62="","",VLOOKUP(I40,BASE!H$28:J$48,2,FALSE))</f>
        <v>1</v>
      </c>
      <c r="I62" s="14">
        <f>IF(A62="","",VLOOKUP(J40,BASE!K$28:L$30,2,FALSE))</f>
        <v>1</v>
      </c>
      <c r="J62" s="14">
        <f t="shared" si="11"/>
        <v>1.0954451150103321</v>
      </c>
      <c r="K62" s="14">
        <f t="shared" si="12"/>
        <v>74.490267820702584</v>
      </c>
      <c r="L62" s="14">
        <f t="shared" si="10"/>
        <v>40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s="3" customFormat="1" ht="13.2" x14ac:dyDescent="0.25">
      <c r="A63" s="17">
        <f t="shared" si="8"/>
        <v>15</v>
      </c>
      <c r="B63" s="14" t="str">
        <f t="shared" si="8"/>
        <v>C.FV</v>
      </c>
      <c r="C63" s="14">
        <f>IF(A63="","",INDEX(BASE!A$112:BU$128,MATCH(DATOS!C17,BASE!A$113:A$128,0)+1,MATCH(DATOS!J17&amp;DATOS!D41&amp;DATOS!G17&amp;DATOS!F17,BASE!B$112:BU$112,0)+1)*E17)</f>
        <v>68</v>
      </c>
      <c r="D63" s="14">
        <f t="shared" si="9"/>
        <v>1</v>
      </c>
      <c r="E63" s="14">
        <f>IF(A63="","",VLOOKUP(F41,BASE!C$28:D$35,2,FALSE))</f>
        <v>1</v>
      </c>
      <c r="F63" s="14">
        <f>IF(A63="","",INDEX(BASE!A$51:J$72,MATCH(DATOS!G41,BASE!A$51:A$72,0),MATCH(DATOS!D41,BASE!A$51:J$51,0)))</f>
        <v>1</v>
      </c>
      <c r="G63" s="14">
        <f>IF(A63="","",VLOOKUP(H41,BASE!F$28:G$30,2,FALSE))</f>
        <v>1</v>
      </c>
      <c r="H63" s="14">
        <f>IF(A63="","",VLOOKUP(I41,BASE!H$28:J$48,2,FALSE))</f>
        <v>0.8</v>
      </c>
      <c r="I63" s="14">
        <f>IF(A63="","",VLOOKUP(J41,BASE!K$28:L$30,2,FALSE))</f>
        <v>1</v>
      </c>
      <c r="J63" s="14">
        <f t="shared" si="11"/>
        <v>0.8</v>
      </c>
      <c r="K63" s="14">
        <f t="shared" si="12"/>
        <v>54.400000000000006</v>
      </c>
      <c r="L63" s="14">
        <f t="shared" si="10"/>
        <v>40</v>
      </c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s="3" customFormat="1" ht="13.2" x14ac:dyDescent="0.25">
      <c r="A64" s="17" t="str">
        <f t="shared" si="8"/>
        <v/>
      </c>
      <c r="B64" s="14" t="str">
        <f t="shared" si="8"/>
        <v/>
      </c>
      <c r="C64" s="14" t="str">
        <f>IF(A64="","",INDEX(BASE!A$112:BU$128,MATCH(DATOS!C18,BASE!A$113:A$128,0)+1,MATCH(DATOS!J18&amp;DATOS!D42&amp;DATOS!G18&amp;DATOS!F18,BASE!B$112:BU$112,0)+1)*E18)</f>
        <v/>
      </c>
      <c r="D64" s="14" t="str">
        <f t="shared" si="9"/>
        <v/>
      </c>
      <c r="E64" s="14" t="str">
        <f>IF(A64="","",VLOOKUP(F42,BASE!C$28:D$35,2,FALSE))</f>
        <v/>
      </c>
      <c r="F64" s="14" t="str">
        <f>IF(A64="","",INDEX(BASE!A$51:J$72,MATCH(DATOS!G42,BASE!A$51:A$72,0),MATCH(DATOS!D42,BASE!A$51:J$51,0)))</f>
        <v/>
      </c>
      <c r="G64" s="14" t="str">
        <f>IF(A64="","",VLOOKUP(H42,BASE!F$28:G$30,2,FALSE))</f>
        <v/>
      </c>
      <c r="H64" s="14" t="str">
        <f>IF(A64="","",VLOOKUP(I42,BASE!H$28:J$48,2,FALSE))</f>
        <v/>
      </c>
      <c r="I64" s="14" t="str">
        <f>IF(A64="","",VLOOKUP(J42,BASE!K$28:L$30,2,FALSE))</f>
        <v/>
      </c>
      <c r="J64" s="14" t="str">
        <f t="shared" si="11"/>
        <v/>
      </c>
      <c r="K64" s="14" t="str">
        <f t="shared" si="12"/>
        <v/>
      </c>
      <c r="L64" s="14" t="str">
        <f t="shared" si="10"/>
        <v/>
      </c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s="3" customFormat="1" ht="13.2" x14ac:dyDescent="0.25">
      <c r="A65" s="17" t="str">
        <f t="shared" ref="A65:B68" si="13">IF(A19=0,"",A19)</f>
        <v/>
      </c>
      <c r="B65" s="14" t="str">
        <f t="shared" si="13"/>
        <v/>
      </c>
      <c r="C65" s="14" t="str">
        <f>IF(A65="","",INDEX(BASE!A$112:BU$128,MATCH(DATOS!C19,BASE!A$113:A$128,0)+1,MATCH(DATOS!J19&amp;DATOS!D43&amp;DATOS!G19&amp;DATOS!F19,BASE!B$112:BU$112,0)+1)*E19)</f>
        <v/>
      </c>
      <c r="D65" s="14" t="str">
        <f t="shared" si="9"/>
        <v/>
      </c>
      <c r="E65" s="14" t="str">
        <f>IF(A65="","",VLOOKUP(F43,BASE!C$28:D$35,2,FALSE))</f>
        <v/>
      </c>
      <c r="F65" s="14" t="str">
        <f>IF(A65="","",INDEX(BASE!A$51:J$72,MATCH(DATOS!G43,BASE!A$51:A$72,0),MATCH(DATOS!D43,BASE!A$51:J$51,0)))</f>
        <v/>
      </c>
      <c r="G65" s="14" t="str">
        <f>IF(A65="","",VLOOKUP(H43,BASE!F$28:G$30,2,FALSE))</f>
        <v/>
      </c>
      <c r="H65" s="14" t="str">
        <f>IF(A65="","",VLOOKUP(I43,BASE!H$28:J$48,2,FALSE))</f>
        <v/>
      </c>
      <c r="I65" s="14" t="str">
        <f>IF(A65="","",VLOOKUP(J43,BASE!K$28:L$30,2,FALSE))</f>
        <v/>
      </c>
      <c r="J65" s="14" t="str">
        <f t="shared" si="11"/>
        <v/>
      </c>
      <c r="K65" s="14" t="str">
        <f t="shared" si="12"/>
        <v/>
      </c>
      <c r="L65" s="14" t="str">
        <f t="shared" si="10"/>
        <v/>
      </c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s="3" customFormat="1" ht="13.2" x14ac:dyDescent="0.25">
      <c r="A66" s="17" t="str">
        <f t="shared" si="13"/>
        <v/>
      </c>
      <c r="B66" s="14" t="str">
        <f t="shared" si="13"/>
        <v/>
      </c>
      <c r="C66" s="14" t="str">
        <f>IF(A66="","",INDEX(BASE!A$112:BU$128,MATCH(DATOS!C20,BASE!A$113:A$128,0)+1,MATCH(DATOS!J20&amp;DATOS!D44&amp;DATOS!G20&amp;DATOS!F20,BASE!B$112:BU$112,0)+1)*E20)</f>
        <v/>
      </c>
      <c r="D66" s="14" t="str">
        <f t="shared" si="9"/>
        <v/>
      </c>
      <c r="E66" s="14" t="str">
        <f>IF(A66="","",VLOOKUP(F44,BASE!C$28:D$35,2,FALSE))</f>
        <v/>
      </c>
      <c r="F66" s="14" t="str">
        <f>IF(A66="","",INDEX(BASE!A$51:J$72,MATCH(DATOS!G44,BASE!A$51:A$72,0),MATCH(DATOS!D44,BASE!A$51:J$51,0)))</f>
        <v/>
      </c>
      <c r="G66" s="14" t="str">
        <f>IF(A66="","",VLOOKUP(H44,BASE!F$28:G$30,2,FALSE))</f>
        <v/>
      </c>
      <c r="H66" s="14" t="str">
        <f>IF(A66="","",VLOOKUP(I44,BASE!H$28:J$48,2,FALSE))</f>
        <v/>
      </c>
      <c r="I66" s="14" t="str">
        <f>IF(A66="","",VLOOKUP(J44,BASE!K$28:L$30,2,FALSE))</f>
        <v/>
      </c>
      <c r="J66" s="14" t="str">
        <f t="shared" si="11"/>
        <v/>
      </c>
      <c r="K66" s="14" t="str">
        <f t="shared" si="12"/>
        <v/>
      </c>
      <c r="L66" s="14" t="str">
        <f t="shared" si="10"/>
        <v/>
      </c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s="3" customFormat="1" ht="13.2" x14ac:dyDescent="0.25">
      <c r="A67" s="17" t="str">
        <f t="shared" si="13"/>
        <v/>
      </c>
      <c r="B67" s="14" t="str">
        <f t="shared" si="13"/>
        <v/>
      </c>
      <c r="C67" s="14" t="str">
        <f>IF(A67="","",INDEX(BASE!A$112:BU$128,MATCH(DATOS!C21,BASE!A$113:A$128,0)+1,MATCH(DATOS!J21&amp;DATOS!D45&amp;DATOS!G21&amp;DATOS!F21,BASE!B$112:BU$112,0)+1)*E21)</f>
        <v/>
      </c>
      <c r="D67" s="14" t="str">
        <f t="shared" si="9"/>
        <v/>
      </c>
      <c r="E67" s="14" t="str">
        <f>IF(A67="","",VLOOKUP(F45,BASE!C$28:D$35,2,FALSE))</f>
        <v/>
      </c>
      <c r="F67" s="14" t="str">
        <f>IF(A67="","",INDEX(BASE!A$51:J$72,MATCH(DATOS!G45,BASE!A$51:A$72,0),MATCH(DATOS!D45,BASE!A$51:J$51,0)))</f>
        <v/>
      </c>
      <c r="G67" s="14" t="str">
        <f>IF(A67="","",VLOOKUP(H45,BASE!F$28:G$30,2,FALSE))</f>
        <v/>
      </c>
      <c r="H67" s="14" t="str">
        <f>IF(A67="","",VLOOKUP(I45,BASE!H$28:J$48,2,FALSE))</f>
        <v/>
      </c>
      <c r="I67" s="14" t="str">
        <f>IF(A67="","",VLOOKUP(J45,BASE!K$28:L$30,2,FALSE))</f>
        <v/>
      </c>
      <c r="J67" s="14" t="str">
        <f t="shared" si="11"/>
        <v/>
      </c>
      <c r="K67" s="14" t="str">
        <f t="shared" si="12"/>
        <v/>
      </c>
      <c r="L67" s="14" t="str">
        <f t="shared" si="10"/>
        <v/>
      </c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s="3" customFormat="1" ht="13.2" x14ac:dyDescent="0.25">
      <c r="A68" s="17" t="str">
        <f t="shared" si="13"/>
        <v/>
      </c>
      <c r="B68" s="14" t="str">
        <f t="shared" si="13"/>
        <v/>
      </c>
      <c r="C68" s="14" t="str">
        <f>IF(A68="","",INDEX(BASE!A$112:BU$128,MATCH(DATOS!C22,BASE!A$113:A$128,0)+1,MATCH(DATOS!J22&amp;DATOS!D46&amp;DATOS!G22&amp;DATOS!F22,BASE!B$112:BU$112,0)+1)*E22)</f>
        <v/>
      </c>
      <c r="D68" s="14" t="str">
        <f t="shared" si="9"/>
        <v/>
      </c>
      <c r="E68" s="14" t="str">
        <f>IF(A68="","",VLOOKUP(F46,BASE!C$28:D$35,2,FALSE))</f>
        <v/>
      </c>
      <c r="F68" s="14" t="str">
        <f>IF(A68="","",INDEX(BASE!A$51:J$72,MATCH(DATOS!G46,BASE!A$51:A$72,0),MATCH(DATOS!D46,BASE!A$51:J$51,0)))</f>
        <v/>
      </c>
      <c r="G68" s="14" t="str">
        <f>IF(A68="","",VLOOKUP(H46,BASE!F$28:G$30,2,FALSE))</f>
        <v/>
      </c>
      <c r="H68" s="14" t="str">
        <f>IF(A68="","",VLOOKUP(I46,BASE!H$28:J$48,2,FALSE))</f>
        <v/>
      </c>
      <c r="I68" s="14" t="str">
        <f>IF(A68="","",VLOOKUP(J46,BASE!K$28:L$30,2,FALSE))</f>
        <v/>
      </c>
      <c r="J68" s="14" t="str">
        <f t="shared" si="11"/>
        <v/>
      </c>
      <c r="K68" s="14" t="str">
        <f t="shared" si="12"/>
        <v/>
      </c>
      <c r="L68" s="14" t="str">
        <f t="shared" si="10"/>
        <v/>
      </c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s="3" customFormat="1" ht="22.8" x14ac:dyDescent="0.25">
      <c r="A69" s="129" t="s">
        <v>204</v>
      </c>
      <c r="B69" s="130" t="s">
        <v>121</v>
      </c>
      <c r="C69" s="138" t="s">
        <v>132</v>
      </c>
      <c r="D69" s="138"/>
      <c r="E69" s="138"/>
      <c r="F69" s="138"/>
      <c r="G69" s="138"/>
      <c r="H69" s="138"/>
      <c r="I69" s="138"/>
      <c r="J69" s="130" t="s">
        <v>196</v>
      </c>
      <c r="K69" s="130" t="s">
        <v>131</v>
      </c>
      <c r="L69" s="130" t="s">
        <v>127</v>
      </c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s="3" customFormat="1" ht="13.2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s="6" customFormat="1" ht="13.2" x14ac:dyDescent="0.25">
      <c r="A71" s="132" t="s">
        <v>12</v>
      </c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spans="1:27" s="5" customFormat="1" ht="27" x14ac:dyDescent="0.3">
      <c r="A72" s="4" t="s">
        <v>0</v>
      </c>
      <c r="B72" s="4" t="s">
        <v>190</v>
      </c>
      <c r="C72" s="4" t="s">
        <v>59</v>
      </c>
      <c r="D72" s="4" t="s">
        <v>18</v>
      </c>
      <c r="E72" s="4" t="s">
        <v>113</v>
      </c>
      <c r="F72" s="4" t="s">
        <v>22</v>
      </c>
      <c r="G72" s="4" t="s">
        <v>23</v>
      </c>
      <c r="H72" s="4" t="s">
        <v>199</v>
      </c>
      <c r="I72" s="4" t="s">
        <v>134</v>
      </c>
      <c r="J72" s="4" t="s">
        <v>52</v>
      </c>
      <c r="K72" s="4" t="s">
        <v>135</v>
      </c>
      <c r="L72" s="4" t="s">
        <v>57</v>
      </c>
    </row>
    <row r="73" spans="1:27" s="3" customFormat="1" ht="13.2" x14ac:dyDescent="0.25">
      <c r="A73" s="16">
        <f t="shared" ref="A73:D88" si="14">IF(A3=0,"",A3)</f>
        <v>1</v>
      </c>
      <c r="B73" s="13" t="str">
        <f t="shared" si="14"/>
        <v>DI</v>
      </c>
      <c r="C73" s="61">
        <f t="shared" si="14"/>
        <v>16</v>
      </c>
      <c r="D73" s="12">
        <f t="shared" si="14"/>
        <v>20</v>
      </c>
      <c r="E73" s="13">
        <f>IF(A73="","",VLOOKUP(F3,BASE!D$3:E$5,2,FALSE))</f>
        <v>54.7</v>
      </c>
      <c r="F73" s="13">
        <f t="shared" ref="F73:F92" si="15">IF(H3=0,"",H3)</f>
        <v>230</v>
      </c>
      <c r="G73" s="13">
        <f t="shared" ref="G73:G92" si="16">IF(I3=0,"",I3)</f>
        <v>40</v>
      </c>
      <c r="H73" s="128">
        <f t="shared" ref="H73:H92" si="17">IF(A73="","",D73/(E73*C73*E3))</f>
        <v>2.2851919561243144E-2</v>
      </c>
      <c r="I73" s="18">
        <f>IF(A73="","",VLOOKUP(J3,BASE!J$3:K$23,2,FALSE)*G73*D73/(E73*C73*E3*F73/H49))</f>
        <v>7.9484937604323985E-3</v>
      </c>
      <c r="J73" s="12" t="str">
        <f t="shared" ref="J73:J92" si="18">IF(A73="","",I27)</f>
        <v>DI con una C.C</v>
      </c>
      <c r="K73" s="18">
        <f>IF(A73="","",VLOOKUP(J73,BASE!H$28:J$48,3,FALSE))</f>
        <v>0.01</v>
      </c>
      <c r="L73" s="12" t="str">
        <f t="shared" ref="L73:L92" si="19">IF(A73="","",IF(K73&gt;I73,"CORRECTO","NO CUMPLE"))</f>
        <v>CORRECTO</v>
      </c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s="3" customFormat="1" ht="13.2" x14ac:dyDescent="0.25">
      <c r="A74" s="16">
        <f t="shared" si="14"/>
        <v>2</v>
      </c>
      <c r="B74" s="13" t="str">
        <f t="shared" si="14"/>
        <v>C1</v>
      </c>
      <c r="C74" s="61">
        <f t="shared" si="14"/>
        <v>1.5</v>
      </c>
      <c r="D74" s="12">
        <f t="shared" si="14"/>
        <v>15</v>
      </c>
      <c r="E74" s="13">
        <f>IF(A74="","",VLOOKUP(F4,BASE!D$3:E$5,2,FALSE))</f>
        <v>54.7</v>
      </c>
      <c r="F74" s="13">
        <f t="shared" si="15"/>
        <v>230</v>
      </c>
      <c r="G74" s="13">
        <f t="shared" si="16"/>
        <v>10</v>
      </c>
      <c r="H74" s="128">
        <f t="shared" si="17"/>
        <v>0.18281535648994512</v>
      </c>
      <c r="I74" s="18">
        <f>IF(A74="","",VLOOKUP(J4,BASE!J$3:K$23,2,FALSE)*G74*D74/(E74*C74*E4*F74/H50))</f>
        <v>1.5896987520864794E-2</v>
      </c>
      <c r="J74" s="12" t="str">
        <f t="shared" si="18"/>
        <v>Alumbrado</v>
      </c>
      <c r="K74" s="18">
        <f>IF(A74="","",VLOOKUP(J74,BASE!H$28:J$48,3,FALSE))</f>
        <v>0.03</v>
      </c>
      <c r="L74" s="12" t="str">
        <f t="shared" si="19"/>
        <v>CORRECTO</v>
      </c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s="3" customFormat="1" ht="13.2" x14ac:dyDescent="0.25">
      <c r="A75" s="16">
        <f t="shared" si="14"/>
        <v>3</v>
      </c>
      <c r="B75" s="13" t="str">
        <f t="shared" si="14"/>
        <v>C2</v>
      </c>
      <c r="C75" s="61">
        <f t="shared" si="14"/>
        <v>2.5</v>
      </c>
      <c r="D75" s="12">
        <f t="shared" si="14"/>
        <v>15</v>
      </c>
      <c r="E75" s="13">
        <f>IF(A75="","",VLOOKUP(F5,BASE!D$3:E$5,2,FALSE))</f>
        <v>54.7</v>
      </c>
      <c r="F75" s="13">
        <f t="shared" si="15"/>
        <v>230</v>
      </c>
      <c r="G75" s="13">
        <f t="shared" si="16"/>
        <v>16</v>
      </c>
      <c r="H75" s="128">
        <f t="shared" si="17"/>
        <v>0.10968921389396709</v>
      </c>
      <c r="I75" s="18">
        <f>IF(A75="","",VLOOKUP(J5,BASE!J$3:K$23,2,FALSE)*G75*D75/(E75*C75*E5*F75/H51))</f>
        <v>1.5261108020030204E-2</v>
      </c>
      <c r="J75" s="12" t="str">
        <f t="shared" si="18"/>
        <v>Fuerza (en BT)</v>
      </c>
      <c r="K75" s="18">
        <f>IF(A75="","",VLOOKUP(J75,BASE!H$28:J$48,3,FALSE))</f>
        <v>0.05</v>
      </c>
      <c r="L75" s="12" t="str">
        <f t="shared" si="19"/>
        <v>CORRECTO</v>
      </c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s="3" customFormat="1" ht="13.2" x14ac:dyDescent="0.25">
      <c r="A76" s="16">
        <f t="shared" si="14"/>
        <v>4</v>
      </c>
      <c r="B76" s="13" t="str">
        <f t="shared" si="14"/>
        <v>C3</v>
      </c>
      <c r="C76" s="61">
        <f t="shared" si="14"/>
        <v>6</v>
      </c>
      <c r="D76" s="12">
        <f t="shared" si="14"/>
        <v>15</v>
      </c>
      <c r="E76" s="13">
        <f>IF(A76="","",VLOOKUP(F6,BASE!D$3:E$5,2,FALSE))</f>
        <v>54.7</v>
      </c>
      <c r="F76" s="13">
        <f t="shared" si="15"/>
        <v>230</v>
      </c>
      <c r="G76" s="13">
        <f t="shared" si="16"/>
        <v>25</v>
      </c>
      <c r="H76" s="128">
        <f t="shared" si="17"/>
        <v>4.5703839122486281E-2</v>
      </c>
      <c r="I76" s="18">
        <f>IF(A76="","",VLOOKUP(J6,BASE!J$3:K$23,2,FALSE)*G76*D76/(E76*C76*E6*F76/H52))</f>
        <v>9.9356172005404964E-3</v>
      </c>
      <c r="J76" s="12" t="str">
        <f t="shared" si="18"/>
        <v>Fuerza (en BT)</v>
      </c>
      <c r="K76" s="18">
        <f>IF(A76="","",VLOOKUP(J76,BASE!H$28:J$48,3,FALSE))</f>
        <v>0.05</v>
      </c>
      <c r="L76" s="12" t="str">
        <f t="shared" si="19"/>
        <v>CORRECTO</v>
      </c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s="3" customFormat="1" ht="13.2" x14ac:dyDescent="0.25">
      <c r="A77" s="16">
        <f t="shared" si="14"/>
        <v>5</v>
      </c>
      <c r="B77" s="13" t="str">
        <f t="shared" si="14"/>
        <v>C4</v>
      </c>
      <c r="C77" s="61">
        <f t="shared" si="14"/>
        <v>4</v>
      </c>
      <c r="D77" s="12">
        <f t="shared" si="14"/>
        <v>15</v>
      </c>
      <c r="E77" s="13">
        <f>IF(A77="","",VLOOKUP(F7,BASE!D$3:E$5,2,FALSE))</f>
        <v>54.7</v>
      </c>
      <c r="F77" s="13">
        <f t="shared" si="15"/>
        <v>230</v>
      </c>
      <c r="G77" s="13">
        <f t="shared" si="16"/>
        <v>20</v>
      </c>
      <c r="H77" s="128">
        <f t="shared" si="17"/>
        <v>6.8555758683729429E-2</v>
      </c>
      <c r="I77" s="18">
        <f>IF(A77="","",VLOOKUP(J7,BASE!J$3:K$23,2,FALSE)*G77*D77/(E77*C77*E7*F77/H53))</f>
        <v>1.1922740640648598E-2</v>
      </c>
      <c r="J77" s="12" t="str">
        <f t="shared" si="18"/>
        <v>Fuerza (en BT)</v>
      </c>
      <c r="K77" s="18">
        <f>IF(A77="","",VLOOKUP(J77,BASE!H$28:J$48,3,FALSE))</f>
        <v>0.05</v>
      </c>
      <c r="L77" s="12" t="str">
        <f t="shared" si="19"/>
        <v>CORRECTO</v>
      </c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s="3" customFormat="1" ht="13.2" x14ac:dyDescent="0.25">
      <c r="A78" s="16">
        <f t="shared" si="14"/>
        <v>6</v>
      </c>
      <c r="B78" s="13" t="str">
        <f t="shared" si="14"/>
        <v>C5</v>
      </c>
      <c r="C78" s="61">
        <f t="shared" si="14"/>
        <v>2.5</v>
      </c>
      <c r="D78" s="12">
        <f t="shared" si="14"/>
        <v>15</v>
      </c>
      <c r="E78" s="13">
        <f>IF(A78="","",VLOOKUP(F8,BASE!D$3:E$5,2,FALSE))</f>
        <v>54.7</v>
      </c>
      <c r="F78" s="13">
        <f t="shared" si="15"/>
        <v>230</v>
      </c>
      <c r="G78" s="13">
        <f t="shared" si="16"/>
        <v>16</v>
      </c>
      <c r="H78" s="128">
        <f t="shared" si="17"/>
        <v>0.10968921389396709</v>
      </c>
      <c r="I78" s="18">
        <f>IF(A78="","",VLOOKUP(J8,BASE!J$3:K$23,2,FALSE)*G78*D78/(E78*C78*E8*F78/H54))</f>
        <v>1.5261108020030204E-2</v>
      </c>
      <c r="J78" s="12" t="str">
        <f t="shared" si="18"/>
        <v>Fuerza (en BT)</v>
      </c>
      <c r="K78" s="18">
        <f>IF(A78="","",VLOOKUP(J78,BASE!H$28:J$48,3,FALSE))</f>
        <v>0.05</v>
      </c>
      <c r="L78" s="12" t="str">
        <f t="shared" si="19"/>
        <v>CORRECTO</v>
      </c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s="3" customFormat="1" ht="13.2" x14ac:dyDescent="0.25">
      <c r="A79" s="16">
        <f t="shared" si="14"/>
        <v>7</v>
      </c>
      <c r="B79" s="13" t="str">
        <f t="shared" si="14"/>
        <v>C6</v>
      </c>
      <c r="C79" s="61">
        <f t="shared" si="14"/>
        <v>1.5</v>
      </c>
      <c r="D79" s="12">
        <f t="shared" si="14"/>
        <v>15</v>
      </c>
      <c r="E79" s="13">
        <f>IF(A79="","",VLOOKUP(F9,BASE!D$3:E$5,2,FALSE))</f>
        <v>54.7</v>
      </c>
      <c r="F79" s="13">
        <f t="shared" si="15"/>
        <v>230</v>
      </c>
      <c r="G79" s="13">
        <f t="shared" si="16"/>
        <v>10</v>
      </c>
      <c r="H79" s="128">
        <f t="shared" si="17"/>
        <v>0.18281535648994512</v>
      </c>
      <c r="I79" s="18">
        <f>IF(A79="","",VLOOKUP(J9,BASE!J$3:K$23,2,FALSE)*G79*D79/(E79*C79*E9*F79/H55))</f>
        <v>1.5896987520864794E-2</v>
      </c>
      <c r="J79" s="12" t="str">
        <f t="shared" si="18"/>
        <v>Alumbrado</v>
      </c>
      <c r="K79" s="18">
        <f>IF(A79="","",VLOOKUP(J79,BASE!H$28:J$48,3,FALSE))</f>
        <v>0.03</v>
      </c>
      <c r="L79" s="12" t="str">
        <f t="shared" si="19"/>
        <v>CORRECTO</v>
      </c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s="3" customFormat="1" ht="13.2" x14ac:dyDescent="0.25">
      <c r="A80" s="16">
        <f t="shared" si="14"/>
        <v>8</v>
      </c>
      <c r="B80" s="13" t="str">
        <f t="shared" si="14"/>
        <v>C7</v>
      </c>
      <c r="C80" s="61">
        <f t="shared" si="14"/>
        <v>2.5</v>
      </c>
      <c r="D80" s="12">
        <f t="shared" si="14"/>
        <v>15</v>
      </c>
      <c r="E80" s="13">
        <f>IF(A80="","",VLOOKUP(F10,BASE!D$3:E$5,2,FALSE))</f>
        <v>54.7</v>
      </c>
      <c r="F80" s="13">
        <f t="shared" si="15"/>
        <v>230</v>
      </c>
      <c r="G80" s="13">
        <f t="shared" si="16"/>
        <v>16</v>
      </c>
      <c r="H80" s="128">
        <f t="shared" si="17"/>
        <v>0.10968921389396709</v>
      </c>
      <c r="I80" s="18">
        <f>IF(A80="","",VLOOKUP(J10,BASE!J$3:K$23,2,FALSE)*G80*D80/(E80*C80*E10*F80/H56))</f>
        <v>1.5261108020030204E-2</v>
      </c>
      <c r="J80" s="12" t="str">
        <f t="shared" si="18"/>
        <v>Fuerza (en BT)</v>
      </c>
      <c r="K80" s="18">
        <f>IF(A80="","",VLOOKUP(J80,BASE!H$28:J$48,3,FALSE))</f>
        <v>0.05</v>
      </c>
      <c r="L80" s="12" t="str">
        <f t="shared" si="19"/>
        <v>CORRECTO</v>
      </c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s="3" customFormat="1" ht="13.2" x14ac:dyDescent="0.25">
      <c r="A81" s="16">
        <f t="shared" si="14"/>
        <v>9</v>
      </c>
      <c r="B81" s="13" t="str">
        <f t="shared" si="14"/>
        <v>C8</v>
      </c>
      <c r="C81" s="61">
        <f t="shared" si="14"/>
        <v>6</v>
      </c>
      <c r="D81" s="12">
        <f t="shared" si="14"/>
        <v>15</v>
      </c>
      <c r="E81" s="13">
        <f>IF(A81="","",VLOOKUP(F11,BASE!D$3:E$5,2,FALSE))</f>
        <v>54.7</v>
      </c>
      <c r="F81" s="13">
        <f t="shared" si="15"/>
        <v>230</v>
      </c>
      <c r="G81" s="13">
        <f t="shared" si="16"/>
        <v>25</v>
      </c>
      <c r="H81" s="128">
        <f t="shared" si="17"/>
        <v>4.5703839122486281E-2</v>
      </c>
      <c r="I81" s="18">
        <f>IF(A81="","",VLOOKUP(J11,BASE!J$3:K$23,2,FALSE)*G81*D81/(E81*C81*E11*F81/H57))</f>
        <v>9.9356172005404964E-3</v>
      </c>
      <c r="J81" s="12" t="str">
        <f t="shared" si="18"/>
        <v>Fuerza (en BT)</v>
      </c>
      <c r="K81" s="18">
        <f>IF(A81="","",VLOOKUP(J81,BASE!H$28:J$48,3,FALSE))</f>
        <v>0.05</v>
      </c>
      <c r="L81" s="12" t="str">
        <f t="shared" si="19"/>
        <v>CORRECTO</v>
      </c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s="3" customFormat="1" ht="13.2" x14ac:dyDescent="0.25">
      <c r="A82" s="16">
        <f t="shared" si="14"/>
        <v>10</v>
      </c>
      <c r="B82" s="13" t="str">
        <f t="shared" si="14"/>
        <v>C9</v>
      </c>
      <c r="C82" s="61">
        <f t="shared" si="14"/>
        <v>6</v>
      </c>
      <c r="D82" s="12">
        <f t="shared" si="14"/>
        <v>15</v>
      </c>
      <c r="E82" s="13">
        <f>IF(A82="","",VLOOKUP(F12,BASE!D$3:E$5,2,FALSE))</f>
        <v>54.7</v>
      </c>
      <c r="F82" s="13">
        <f t="shared" si="15"/>
        <v>230</v>
      </c>
      <c r="G82" s="13">
        <f t="shared" si="16"/>
        <v>25</v>
      </c>
      <c r="H82" s="128">
        <f t="shared" si="17"/>
        <v>4.5703839122486281E-2</v>
      </c>
      <c r="I82" s="18">
        <f>IF(A82="","",VLOOKUP(J12,BASE!J$3:K$23,2,FALSE)*G82*D82/(E82*C82*E12*F82/H58))</f>
        <v>9.9356172005404964E-3</v>
      </c>
      <c r="J82" s="12" t="str">
        <f t="shared" si="18"/>
        <v>Fuerza (en BT)</v>
      </c>
      <c r="K82" s="18">
        <f>IF(A82="","",VLOOKUP(J82,BASE!H$28:J$48,3,FALSE))</f>
        <v>0.05</v>
      </c>
      <c r="L82" s="12" t="str">
        <f t="shared" si="19"/>
        <v>CORRECTO</v>
      </c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s="3" customFormat="1" ht="13.2" x14ac:dyDescent="0.25">
      <c r="A83" s="16">
        <f t="shared" si="14"/>
        <v>11</v>
      </c>
      <c r="B83" s="13" t="str">
        <f t="shared" si="14"/>
        <v>C10</v>
      </c>
      <c r="C83" s="61">
        <f t="shared" si="14"/>
        <v>2.5</v>
      </c>
      <c r="D83" s="12">
        <f t="shared" si="14"/>
        <v>15</v>
      </c>
      <c r="E83" s="13">
        <f>IF(A83="","",VLOOKUP(F13,BASE!D$3:E$5,2,FALSE))</f>
        <v>54.7</v>
      </c>
      <c r="F83" s="13">
        <f t="shared" si="15"/>
        <v>230</v>
      </c>
      <c r="G83" s="13">
        <f t="shared" si="16"/>
        <v>16</v>
      </c>
      <c r="H83" s="128">
        <f t="shared" si="17"/>
        <v>0.10968921389396709</v>
      </c>
      <c r="I83" s="18">
        <f>IF(A83="","",VLOOKUP(J13,BASE!J$3:K$23,2,FALSE)*G83*D83/(E83*C83*E13*F83/H59))</f>
        <v>1.5261108020030204E-2</v>
      </c>
      <c r="J83" s="12" t="str">
        <f t="shared" si="18"/>
        <v>Fuerza (en BT)</v>
      </c>
      <c r="K83" s="18">
        <f>IF(A83="","",VLOOKUP(J83,BASE!H$28:J$48,3,FALSE))</f>
        <v>0.05</v>
      </c>
      <c r="L83" s="12" t="str">
        <f t="shared" si="19"/>
        <v>CORRECTO</v>
      </c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s="3" customFormat="1" ht="13.2" x14ac:dyDescent="0.25">
      <c r="A84" s="16">
        <f t="shared" si="14"/>
        <v>12</v>
      </c>
      <c r="B84" s="13" t="str">
        <f t="shared" si="14"/>
        <v>C11</v>
      </c>
      <c r="C84" s="61">
        <f t="shared" si="14"/>
        <v>1.5</v>
      </c>
      <c r="D84" s="12">
        <f t="shared" si="14"/>
        <v>15</v>
      </c>
      <c r="E84" s="13">
        <f>IF(A84="","",VLOOKUP(F14,BASE!D$3:E$5,2,FALSE))</f>
        <v>54.7</v>
      </c>
      <c r="F84" s="13">
        <f t="shared" si="15"/>
        <v>230</v>
      </c>
      <c r="G84" s="13">
        <f t="shared" si="16"/>
        <v>10</v>
      </c>
      <c r="H84" s="128">
        <f t="shared" si="17"/>
        <v>0.18281535648994512</v>
      </c>
      <c r="I84" s="18">
        <f>IF(A84="","",VLOOKUP(J14,BASE!J$3:K$23,2,FALSE)*G84*D84/(E84*C84*E14*F84/H60))</f>
        <v>1.5896987520864794E-2</v>
      </c>
      <c r="J84" s="12" t="str">
        <f t="shared" si="18"/>
        <v>Fuerza (en BT)</v>
      </c>
      <c r="K84" s="18">
        <f>IF(A84="","",VLOOKUP(J84,BASE!H$28:J$48,3,FALSE))</f>
        <v>0.05</v>
      </c>
      <c r="L84" s="12" t="str">
        <f t="shared" si="19"/>
        <v>CORRECTO</v>
      </c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s="3" customFormat="1" ht="13.2" x14ac:dyDescent="0.25">
      <c r="A85" s="16">
        <f t="shared" si="14"/>
        <v>13</v>
      </c>
      <c r="B85" s="13" t="str">
        <f t="shared" si="14"/>
        <v>C12</v>
      </c>
      <c r="C85" s="61">
        <f t="shared" si="14"/>
        <v>6</v>
      </c>
      <c r="D85" s="12">
        <f t="shared" si="14"/>
        <v>15</v>
      </c>
      <c r="E85" s="13">
        <f>IF(A85="","",VLOOKUP(F15,BASE!D$3:E$5,2,FALSE))</f>
        <v>54.7</v>
      </c>
      <c r="F85" s="13">
        <f t="shared" si="15"/>
        <v>230</v>
      </c>
      <c r="G85" s="13">
        <f t="shared" si="16"/>
        <v>25</v>
      </c>
      <c r="H85" s="128">
        <f t="shared" si="17"/>
        <v>4.5703839122486281E-2</v>
      </c>
      <c r="I85" s="18">
        <f>IF(A85="","",VLOOKUP(J15,BASE!J$3:K$23,2,FALSE)*G85*D85/(E85*C85*E15*F85/H61))</f>
        <v>9.9356172005404964E-3</v>
      </c>
      <c r="J85" s="12" t="str">
        <f t="shared" si="18"/>
        <v>Fuerza (en BT)</v>
      </c>
      <c r="K85" s="18">
        <f>IF(A85="","",VLOOKUP(J85,BASE!H$28:J$48,3,FALSE))</f>
        <v>0.05</v>
      </c>
      <c r="L85" s="12" t="str">
        <f t="shared" si="19"/>
        <v>CORRECTO</v>
      </c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s="3" customFormat="1" ht="13.2" x14ac:dyDescent="0.25">
      <c r="A86" s="16">
        <f t="shared" si="14"/>
        <v>14</v>
      </c>
      <c r="B86" s="13" t="str">
        <f t="shared" si="14"/>
        <v>C13</v>
      </c>
      <c r="C86" s="61">
        <f t="shared" si="14"/>
        <v>10</v>
      </c>
      <c r="D86" s="12">
        <f t="shared" si="14"/>
        <v>25</v>
      </c>
      <c r="E86" s="13">
        <f>IF(A86="","",VLOOKUP(F16,BASE!D$3:E$5,2,FALSE))</f>
        <v>54.7</v>
      </c>
      <c r="F86" s="13">
        <f t="shared" si="15"/>
        <v>230</v>
      </c>
      <c r="G86" s="13">
        <f t="shared" si="16"/>
        <v>40</v>
      </c>
      <c r="H86" s="128">
        <f t="shared" si="17"/>
        <v>4.5703839122486288E-2</v>
      </c>
      <c r="I86" s="18">
        <f>IF(A86="","",VLOOKUP(J16,BASE!J$3:K$23,2,FALSE)*G86*D86/(E86*C86*E16*F86/H62))</f>
        <v>1.5896987520864797E-2</v>
      </c>
      <c r="J86" s="12" t="str">
        <f t="shared" si="18"/>
        <v>Cargador V.E</v>
      </c>
      <c r="K86" s="18">
        <f>IF(A86="","",VLOOKUP(J86,BASE!H$28:J$48,3,FALSE))</f>
        <v>0.05</v>
      </c>
      <c r="L86" s="12" t="str">
        <f t="shared" si="19"/>
        <v>CORRECTO</v>
      </c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s="3" customFormat="1" ht="13.2" x14ac:dyDescent="0.25">
      <c r="A87" s="16">
        <f t="shared" si="14"/>
        <v>15</v>
      </c>
      <c r="B87" s="13" t="str">
        <f t="shared" si="14"/>
        <v>C.FV</v>
      </c>
      <c r="C87" s="61">
        <f t="shared" si="14"/>
        <v>10</v>
      </c>
      <c r="D87" s="12">
        <f t="shared" si="14"/>
        <v>25</v>
      </c>
      <c r="E87" s="13">
        <f>IF(A87="","",VLOOKUP(F17,BASE!D$3:E$5,2,FALSE))</f>
        <v>54.7</v>
      </c>
      <c r="F87" s="13">
        <f t="shared" si="15"/>
        <v>230</v>
      </c>
      <c r="G87" s="13">
        <f t="shared" si="16"/>
        <v>40</v>
      </c>
      <c r="H87" s="128">
        <f t="shared" si="17"/>
        <v>4.5703839122486288E-2</v>
      </c>
      <c r="I87" s="18">
        <f>IF(A87="","",VLOOKUP(J17,BASE!J$3:K$23,2,FALSE)*G87*D87/(E87*C87*E17*F87/H63))</f>
        <v>1.2717590016691836E-2</v>
      </c>
      <c r="J87" s="12" t="str">
        <f t="shared" si="18"/>
        <v>Generador</v>
      </c>
      <c r="K87" s="18">
        <f>IF(A87="","",VLOOKUP(J87,BASE!H$28:J$48,3,FALSE))</f>
        <v>1.4999999999999999E-2</v>
      </c>
      <c r="L87" s="12" t="str">
        <f t="shared" si="19"/>
        <v>CORRECTO</v>
      </c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s="3" customFormat="1" ht="13.2" x14ac:dyDescent="0.25">
      <c r="A88" s="16" t="str">
        <f t="shared" si="14"/>
        <v/>
      </c>
      <c r="B88" s="13" t="str">
        <f t="shared" si="14"/>
        <v/>
      </c>
      <c r="C88" s="61" t="str">
        <f t="shared" si="14"/>
        <v/>
      </c>
      <c r="D88" s="12" t="str">
        <f t="shared" si="14"/>
        <v/>
      </c>
      <c r="E88" s="13" t="str">
        <f>IF(A88="","",VLOOKUP(F18,BASE!D$3:E$5,2,FALSE))</f>
        <v/>
      </c>
      <c r="F88" s="13" t="str">
        <f t="shared" si="15"/>
        <v/>
      </c>
      <c r="G88" s="13" t="str">
        <f t="shared" si="16"/>
        <v/>
      </c>
      <c r="H88" s="128" t="str">
        <f t="shared" si="17"/>
        <v/>
      </c>
      <c r="I88" s="18" t="str">
        <f>IF(A88="","",VLOOKUP(J18,BASE!J$3:K$23,2,FALSE)*G88*D88/(E88*C88*E18*F88/H64))</f>
        <v/>
      </c>
      <c r="J88" s="12" t="str">
        <f t="shared" si="18"/>
        <v/>
      </c>
      <c r="K88" s="18" t="str">
        <f>IF(A88="","",VLOOKUP(J88,BASE!H$28:J$48,3,FALSE))</f>
        <v/>
      </c>
      <c r="L88" s="12" t="str">
        <f t="shared" si="19"/>
        <v/>
      </c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s="3" customFormat="1" ht="13.2" x14ac:dyDescent="0.25">
      <c r="A89" s="16" t="str">
        <f t="shared" ref="A89:D92" si="20">IF(A19=0,"",A19)</f>
        <v/>
      </c>
      <c r="B89" s="13" t="str">
        <f t="shared" si="20"/>
        <v/>
      </c>
      <c r="C89" s="61" t="str">
        <f t="shared" si="20"/>
        <v/>
      </c>
      <c r="D89" s="12" t="str">
        <f t="shared" si="20"/>
        <v/>
      </c>
      <c r="E89" s="13" t="str">
        <f>IF(A89="","",VLOOKUP(F19,BASE!D$3:E$5,2,FALSE))</f>
        <v/>
      </c>
      <c r="F89" s="13" t="str">
        <f t="shared" si="15"/>
        <v/>
      </c>
      <c r="G89" s="13" t="str">
        <f t="shared" si="16"/>
        <v/>
      </c>
      <c r="H89" s="128" t="str">
        <f t="shared" si="17"/>
        <v/>
      </c>
      <c r="I89" s="18" t="str">
        <f>IF(A89="","",VLOOKUP(J19,BASE!J$3:K$23,2,FALSE)*G89*D89/(E89*C89*E19*F89/H65))</f>
        <v/>
      </c>
      <c r="J89" s="12" t="str">
        <f t="shared" si="18"/>
        <v/>
      </c>
      <c r="K89" s="18" t="str">
        <f>IF(A89="","",VLOOKUP(J89,BASE!H$28:J$48,3,FALSE))</f>
        <v/>
      </c>
      <c r="L89" s="12" t="str">
        <f t="shared" si="19"/>
        <v/>
      </c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s="3" customFormat="1" ht="13.2" x14ac:dyDescent="0.25">
      <c r="A90" s="16" t="str">
        <f t="shared" si="20"/>
        <v/>
      </c>
      <c r="B90" s="13" t="str">
        <f t="shared" si="20"/>
        <v/>
      </c>
      <c r="C90" s="61" t="str">
        <f t="shared" si="20"/>
        <v/>
      </c>
      <c r="D90" s="12" t="str">
        <f t="shared" si="20"/>
        <v/>
      </c>
      <c r="E90" s="13" t="str">
        <f>IF(A90="","",VLOOKUP(F20,BASE!D$3:E$5,2,FALSE))</f>
        <v/>
      </c>
      <c r="F90" s="13" t="str">
        <f t="shared" si="15"/>
        <v/>
      </c>
      <c r="G90" s="13" t="str">
        <f t="shared" si="16"/>
        <v/>
      </c>
      <c r="H90" s="128" t="str">
        <f t="shared" si="17"/>
        <v/>
      </c>
      <c r="I90" s="18" t="str">
        <f>IF(A90="","",VLOOKUP(J20,BASE!J$3:K$23,2,FALSE)*G90*D90/(E90*C90*E20*F90/H66))</f>
        <v/>
      </c>
      <c r="J90" s="12" t="str">
        <f t="shared" si="18"/>
        <v/>
      </c>
      <c r="K90" s="18" t="str">
        <f>IF(A90="","",VLOOKUP(J90,BASE!H$28:J$48,3,FALSE))</f>
        <v/>
      </c>
      <c r="L90" s="12" t="str">
        <f t="shared" si="19"/>
        <v/>
      </c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s="3" customFormat="1" ht="13.2" x14ac:dyDescent="0.25">
      <c r="A91" s="16" t="str">
        <f t="shared" si="20"/>
        <v/>
      </c>
      <c r="B91" s="13" t="str">
        <f t="shared" si="20"/>
        <v/>
      </c>
      <c r="C91" s="61" t="str">
        <f t="shared" si="20"/>
        <v/>
      </c>
      <c r="D91" s="12" t="str">
        <f t="shared" si="20"/>
        <v/>
      </c>
      <c r="E91" s="13" t="str">
        <f>IF(A91="","",VLOOKUP(F21,BASE!D$3:E$5,2,FALSE))</f>
        <v/>
      </c>
      <c r="F91" s="13" t="str">
        <f t="shared" si="15"/>
        <v/>
      </c>
      <c r="G91" s="13" t="str">
        <f t="shared" si="16"/>
        <v/>
      </c>
      <c r="H91" s="128" t="str">
        <f t="shared" si="17"/>
        <v/>
      </c>
      <c r="I91" s="18" t="str">
        <f>IF(A91="","",VLOOKUP(J21,BASE!J$3:K$23,2,FALSE)*G91*D91/(E91*C91*E21*F91/H67))</f>
        <v/>
      </c>
      <c r="J91" s="12" t="str">
        <f t="shared" si="18"/>
        <v/>
      </c>
      <c r="K91" s="18" t="str">
        <f>IF(A91="","",VLOOKUP(J91,BASE!H$28:J$48,3,FALSE))</f>
        <v/>
      </c>
      <c r="L91" s="12" t="str">
        <f t="shared" si="19"/>
        <v/>
      </c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s="3" customFormat="1" ht="13.2" x14ac:dyDescent="0.25">
      <c r="A92" s="16" t="str">
        <f t="shared" si="20"/>
        <v/>
      </c>
      <c r="B92" s="13" t="str">
        <f t="shared" si="20"/>
        <v/>
      </c>
      <c r="C92" s="61" t="str">
        <f t="shared" si="20"/>
        <v/>
      </c>
      <c r="D92" s="12" t="str">
        <f t="shared" si="20"/>
        <v/>
      </c>
      <c r="E92" s="13" t="str">
        <f>IF(A92="","",VLOOKUP(F22,BASE!D$3:E$5,2,FALSE))</f>
        <v/>
      </c>
      <c r="F92" s="13" t="str">
        <f t="shared" si="15"/>
        <v/>
      </c>
      <c r="G92" s="13" t="str">
        <f t="shared" si="16"/>
        <v/>
      </c>
      <c r="H92" s="128" t="str">
        <f t="shared" si="17"/>
        <v/>
      </c>
      <c r="I92" s="18" t="str">
        <f>IF(A92="","",VLOOKUP(J22,BASE!J$3:K$23,2,FALSE)*G92*D92/(E92*C92*E22*F92/H68))</f>
        <v/>
      </c>
      <c r="J92" s="12" t="str">
        <f t="shared" si="18"/>
        <v/>
      </c>
      <c r="K92" s="18" t="str">
        <f>IF(A92="","",VLOOKUP(J92,BASE!H$28:J$48,3,FALSE))</f>
        <v/>
      </c>
      <c r="L92" s="12" t="str">
        <f t="shared" si="19"/>
        <v/>
      </c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s="22" customFormat="1" ht="22.8" x14ac:dyDescent="0.2">
      <c r="A93" s="129" t="s">
        <v>204</v>
      </c>
      <c r="B93" s="130" t="s">
        <v>121</v>
      </c>
      <c r="C93" s="130" t="s">
        <v>108</v>
      </c>
      <c r="D93" s="130" t="s">
        <v>118</v>
      </c>
      <c r="E93" s="130" t="s">
        <v>39</v>
      </c>
      <c r="F93" s="130" t="s">
        <v>119</v>
      </c>
      <c r="G93" s="130" t="s">
        <v>120</v>
      </c>
      <c r="H93" s="130" t="s">
        <v>198</v>
      </c>
      <c r="I93" s="130" t="s">
        <v>151</v>
      </c>
      <c r="J93" s="130" t="s">
        <v>146</v>
      </c>
      <c r="K93" s="130" t="s">
        <v>125</v>
      </c>
      <c r="L93" s="130" t="s">
        <v>126</v>
      </c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</row>
    <row r="94" spans="1:27" s="3" customFormat="1" ht="13.2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s="3" customFormat="1" ht="13.2" x14ac:dyDescent="0.25">
      <c r="A95" s="132" t="s">
        <v>91</v>
      </c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s="3" customFormat="1" ht="26.4" x14ac:dyDescent="0.25">
      <c r="A96" s="4" t="s">
        <v>0</v>
      </c>
      <c r="B96" s="4" t="s">
        <v>190</v>
      </c>
      <c r="C96" s="4" t="s">
        <v>59</v>
      </c>
      <c r="D96" s="4" t="s">
        <v>17</v>
      </c>
      <c r="E96" s="4" t="s">
        <v>24</v>
      </c>
      <c r="F96" s="4" t="s">
        <v>27</v>
      </c>
      <c r="G96" s="4" t="s">
        <v>206</v>
      </c>
      <c r="H96" s="4" t="s">
        <v>25</v>
      </c>
      <c r="I96" s="4" t="s">
        <v>26</v>
      </c>
      <c r="J96" s="4" t="s">
        <v>183</v>
      </c>
      <c r="K96" s="4" t="s">
        <v>28</v>
      </c>
      <c r="L96" s="4" t="s">
        <v>57</v>
      </c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s="3" customFormat="1" ht="13.2" x14ac:dyDescent="0.25">
      <c r="A97" s="16">
        <f t="shared" ref="A97:C112" si="21">IF(A3=0,"",A3)</f>
        <v>1</v>
      </c>
      <c r="B97" s="12" t="str">
        <f t="shared" si="21"/>
        <v>DI</v>
      </c>
      <c r="C97" s="61">
        <f t="shared" si="21"/>
        <v>16</v>
      </c>
      <c r="D97" s="12">
        <f>IF(A97="","",INDEX(BASE!A$75:D$78,MATCH(DATOS!G3,BASE!$A$75:$A$78,0),MATCH(DATOS!F3,BASE!$A$75:$D$75,0)))</f>
        <v>143</v>
      </c>
      <c r="E97" s="7">
        <v>0.01</v>
      </c>
      <c r="F97" s="7">
        <v>20000</v>
      </c>
      <c r="G97" s="13">
        <f t="shared" ref="G97:G116" si="22">IF(A97="","",230/(230/F97+H73))</f>
        <v>6695.4045927463349</v>
      </c>
      <c r="H97" s="13">
        <f t="shared" ref="H97:H116" si="23">IF(A97="","",E3*D97*C97/SQRT(E97))</f>
        <v>22880</v>
      </c>
      <c r="I97" s="61">
        <f>IF(A97="","",INDEX(BASE!I$3:I$16,MATCH(G97/1000,BASE!I$3:I$16,-1),1))</f>
        <v>10</v>
      </c>
      <c r="J97" s="13">
        <f>IF(A97="","",INDEX(BASE!H$3:H$23,MATCH(DATOS!I3,BASE!H$3:H$23,-1),1))</f>
        <v>40</v>
      </c>
      <c r="K97" s="12" t="str">
        <f t="shared" ref="K97:K116" si="24">IF(A97="","",CONCATENATE(TRUNC(H97/1000,2)," | ",TRUNC(G97/1000,2)))</f>
        <v>22,88 | 6,69</v>
      </c>
      <c r="L97" s="12" t="str">
        <f t="shared" ref="L97:L116" si="25">IF(A97="","",IF(H97&gt;G97,"CORRECTO","NO CUMPLE"))</f>
        <v>CORRECTO</v>
      </c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s="3" customFormat="1" ht="13.2" x14ac:dyDescent="0.25">
      <c r="A98" s="16">
        <f t="shared" si="21"/>
        <v>2</v>
      </c>
      <c r="B98" s="12" t="str">
        <f t="shared" si="21"/>
        <v>C1</v>
      </c>
      <c r="C98" s="61">
        <f t="shared" si="21"/>
        <v>1.5</v>
      </c>
      <c r="D98" s="12">
        <f>IF(A98="","",INDEX(BASE!A$75:D$78,MATCH(DATOS!G4,BASE!$A$75:$A$78,0),MATCH(DATOS!F4,BASE!$A$75:$D$75,0)))</f>
        <v>115</v>
      </c>
      <c r="E98" s="7">
        <v>0.01</v>
      </c>
      <c r="F98" s="7">
        <v>20000</v>
      </c>
      <c r="G98" s="13">
        <f t="shared" si="22"/>
        <v>1183.642940808445</v>
      </c>
      <c r="H98" s="13">
        <f t="shared" si="23"/>
        <v>1725</v>
      </c>
      <c r="I98" s="61">
        <f>IF(A98="","",INDEX(BASE!I$3:I$16,MATCH(G98/1000,BASE!I$3:I$16,-1),1))</f>
        <v>4.5</v>
      </c>
      <c r="J98" s="13">
        <f>IF(A98="","",INDEX(BASE!H$3:H$23,MATCH(DATOS!I4,BASE!H$3:H$23,-1),1))</f>
        <v>10</v>
      </c>
      <c r="K98" s="12" t="str">
        <f t="shared" si="24"/>
        <v>1,72 | 1,18</v>
      </c>
      <c r="L98" s="12" t="str">
        <f t="shared" si="25"/>
        <v>CORRECTO</v>
      </c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s="3" customFormat="1" ht="13.2" x14ac:dyDescent="0.25">
      <c r="A99" s="16">
        <f t="shared" si="21"/>
        <v>3</v>
      </c>
      <c r="B99" s="12" t="str">
        <f t="shared" si="21"/>
        <v>C2</v>
      </c>
      <c r="C99" s="61">
        <f t="shared" si="21"/>
        <v>2.5</v>
      </c>
      <c r="D99" s="12">
        <f>IF(A99="","",INDEX(BASE!A$75:D$78,MATCH(DATOS!G5,BASE!$A$75:$A$78,0),MATCH(DATOS!F5,BASE!$A$75:$D$75,0)))</f>
        <v>115</v>
      </c>
      <c r="E99" s="7">
        <v>0.01</v>
      </c>
      <c r="F99" s="7">
        <v>20000</v>
      </c>
      <c r="G99" s="13">
        <f t="shared" si="22"/>
        <v>1897.8586675315469</v>
      </c>
      <c r="H99" s="13">
        <f t="shared" si="23"/>
        <v>2875</v>
      </c>
      <c r="I99" s="61">
        <f>IF(A99="","",INDEX(BASE!I$3:I$16,MATCH(G99/1000,BASE!I$3:I$16,-1),1))</f>
        <v>4.5</v>
      </c>
      <c r="J99" s="13">
        <f>IF(A99="","",INDEX(BASE!H$3:H$23,MATCH(DATOS!I5,BASE!H$3:H$23,-1),1))</f>
        <v>16</v>
      </c>
      <c r="K99" s="12" t="str">
        <f t="shared" si="24"/>
        <v>2,87 | 1,89</v>
      </c>
      <c r="L99" s="12" t="str">
        <f t="shared" si="25"/>
        <v>CORRECTO</v>
      </c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s="3" customFormat="1" ht="13.2" x14ac:dyDescent="0.25">
      <c r="A100" s="16">
        <f t="shared" si="21"/>
        <v>4</v>
      </c>
      <c r="B100" s="12" t="str">
        <f t="shared" si="21"/>
        <v>C3</v>
      </c>
      <c r="C100" s="61">
        <f t="shared" si="21"/>
        <v>6</v>
      </c>
      <c r="D100" s="12">
        <f>IF(A100="","",INDEX(BASE!A$75:D$78,MATCH(DATOS!G6,BASE!$A$75:$A$78,0),MATCH(DATOS!F6,BASE!$A$75:$D$75,0)))</f>
        <v>115</v>
      </c>
      <c r="E100" s="7">
        <v>0.01</v>
      </c>
      <c r="F100" s="7">
        <v>20000</v>
      </c>
      <c r="G100" s="13">
        <f t="shared" si="22"/>
        <v>4020.7091609274389</v>
      </c>
      <c r="H100" s="13">
        <f t="shared" si="23"/>
        <v>6900</v>
      </c>
      <c r="I100" s="61">
        <f>IF(A100="","",INDEX(BASE!I$3:I$16,MATCH(G100/1000,BASE!I$3:I$16,-1),1))</f>
        <v>4.5</v>
      </c>
      <c r="J100" s="13">
        <f>IF(A100="","",INDEX(BASE!H$3:H$23,MATCH(DATOS!I6,BASE!H$3:H$23,-1),1))</f>
        <v>25</v>
      </c>
      <c r="K100" s="12" t="str">
        <f t="shared" si="24"/>
        <v>6,9 | 4,02</v>
      </c>
      <c r="L100" s="12" t="str">
        <f t="shared" si="25"/>
        <v>CORRECTO</v>
      </c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s="3" customFormat="1" ht="13.2" x14ac:dyDescent="0.25">
      <c r="A101" s="16">
        <f t="shared" si="21"/>
        <v>5</v>
      </c>
      <c r="B101" s="12" t="str">
        <f t="shared" si="21"/>
        <v>C4</v>
      </c>
      <c r="C101" s="61">
        <f t="shared" si="21"/>
        <v>4</v>
      </c>
      <c r="D101" s="12">
        <f>IF(A101="","",INDEX(BASE!A$75:D$78,MATCH(DATOS!G7,BASE!$A$75:$A$78,0),MATCH(DATOS!F7,BASE!$A$75:$D$75,0)))</f>
        <v>115</v>
      </c>
      <c r="E101" s="7">
        <v>0.01</v>
      </c>
      <c r="F101" s="7">
        <v>20000</v>
      </c>
      <c r="G101" s="13">
        <f t="shared" si="22"/>
        <v>2872.997567965655</v>
      </c>
      <c r="H101" s="13">
        <f t="shared" si="23"/>
        <v>4600</v>
      </c>
      <c r="I101" s="61">
        <f>IF(A101="","",INDEX(BASE!I$3:I$16,MATCH(G101/1000,BASE!I$3:I$16,-1),1))</f>
        <v>4.5</v>
      </c>
      <c r="J101" s="13">
        <f>IF(A101="","",INDEX(BASE!H$3:H$23,MATCH(DATOS!I7,BASE!H$3:H$23,-1),1))</f>
        <v>20</v>
      </c>
      <c r="K101" s="12" t="str">
        <f t="shared" si="24"/>
        <v>4,6 | 2,87</v>
      </c>
      <c r="L101" s="12" t="str">
        <f t="shared" si="25"/>
        <v>CORRECTO</v>
      </c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s="3" customFormat="1" ht="13.2" x14ac:dyDescent="0.25">
      <c r="A102" s="16">
        <f t="shared" si="21"/>
        <v>6</v>
      </c>
      <c r="B102" s="12" t="str">
        <f t="shared" si="21"/>
        <v>C5</v>
      </c>
      <c r="C102" s="61">
        <f t="shared" si="21"/>
        <v>2.5</v>
      </c>
      <c r="D102" s="12">
        <f>IF(A102="","",INDEX(BASE!A$75:D$78,MATCH(DATOS!G8,BASE!$A$75:$A$78,0),MATCH(DATOS!F8,BASE!$A$75:$D$75,0)))</f>
        <v>115</v>
      </c>
      <c r="E102" s="7">
        <v>0.01</v>
      </c>
      <c r="F102" s="7">
        <v>20000</v>
      </c>
      <c r="G102" s="13">
        <f t="shared" si="22"/>
        <v>1897.8586675315469</v>
      </c>
      <c r="H102" s="13">
        <f t="shared" si="23"/>
        <v>2875</v>
      </c>
      <c r="I102" s="61">
        <f>IF(A102="","",INDEX(BASE!I$3:I$16,MATCH(G102/1000,BASE!I$3:I$16,-1),1))</f>
        <v>4.5</v>
      </c>
      <c r="J102" s="13">
        <f>IF(A102="","",INDEX(BASE!H$3:H$23,MATCH(DATOS!I8,BASE!H$3:H$23,-1),1))</f>
        <v>16</v>
      </c>
      <c r="K102" s="12" t="str">
        <f t="shared" si="24"/>
        <v>2,87 | 1,89</v>
      </c>
      <c r="L102" s="12" t="str">
        <f t="shared" si="25"/>
        <v>CORRECTO</v>
      </c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s="3" customFormat="1" ht="13.2" x14ac:dyDescent="0.25">
      <c r="A103" s="16">
        <f t="shared" si="21"/>
        <v>7</v>
      </c>
      <c r="B103" s="12" t="str">
        <f t="shared" si="21"/>
        <v>C6</v>
      </c>
      <c r="C103" s="61">
        <f t="shared" si="21"/>
        <v>1.5</v>
      </c>
      <c r="D103" s="12">
        <f>IF(A103="","",INDEX(BASE!A$75:D$78,MATCH(DATOS!G9,BASE!$A$75:$A$78,0),MATCH(DATOS!F9,BASE!$A$75:$D$75,0)))</f>
        <v>115</v>
      </c>
      <c r="E103" s="7">
        <v>0.01</v>
      </c>
      <c r="F103" s="7">
        <v>20000</v>
      </c>
      <c r="G103" s="13">
        <f t="shared" si="22"/>
        <v>1183.642940808445</v>
      </c>
      <c r="H103" s="13">
        <f t="shared" si="23"/>
        <v>1725</v>
      </c>
      <c r="I103" s="61">
        <f>IF(A103="","",INDEX(BASE!I$3:I$16,MATCH(G103/1000,BASE!I$3:I$16,-1),1))</f>
        <v>4.5</v>
      </c>
      <c r="J103" s="13">
        <f>IF(A103="","",INDEX(BASE!H$3:H$23,MATCH(DATOS!I9,BASE!H$3:H$23,-1),1))</f>
        <v>10</v>
      </c>
      <c r="K103" s="12" t="str">
        <f t="shared" si="24"/>
        <v>1,72 | 1,18</v>
      </c>
      <c r="L103" s="12" t="str">
        <f t="shared" si="25"/>
        <v>CORRECTO</v>
      </c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s="3" customFormat="1" ht="13.2" x14ac:dyDescent="0.25">
      <c r="A104" s="16">
        <f t="shared" si="21"/>
        <v>8</v>
      </c>
      <c r="B104" s="12" t="str">
        <f t="shared" si="21"/>
        <v>C7</v>
      </c>
      <c r="C104" s="61">
        <f t="shared" si="21"/>
        <v>2.5</v>
      </c>
      <c r="D104" s="12">
        <f>IF(A104="","",INDEX(BASE!A$75:D$78,MATCH(DATOS!G10,BASE!$A$75:$A$78,0),MATCH(DATOS!F10,BASE!$A$75:$D$75,0)))</f>
        <v>115</v>
      </c>
      <c r="E104" s="7">
        <v>0.01</v>
      </c>
      <c r="F104" s="7">
        <v>20000</v>
      </c>
      <c r="G104" s="13">
        <f t="shared" si="22"/>
        <v>1897.8586675315469</v>
      </c>
      <c r="H104" s="13">
        <f t="shared" si="23"/>
        <v>2875</v>
      </c>
      <c r="I104" s="61">
        <f>IF(A104="","",INDEX(BASE!I$3:I$16,MATCH(G104/1000,BASE!I$3:I$16,-1),1))</f>
        <v>4.5</v>
      </c>
      <c r="J104" s="13">
        <f>IF(A104="","",INDEX(BASE!H$3:H$23,MATCH(DATOS!I10,BASE!H$3:H$23,-1),1))</f>
        <v>16</v>
      </c>
      <c r="K104" s="12" t="str">
        <f t="shared" si="24"/>
        <v>2,87 | 1,89</v>
      </c>
      <c r="L104" s="12" t="str">
        <f t="shared" si="25"/>
        <v>CORRECTO</v>
      </c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s="3" customFormat="1" ht="13.2" x14ac:dyDescent="0.25">
      <c r="A105" s="16">
        <f t="shared" si="21"/>
        <v>9</v>
      </c>
      <c r="B105" s="12" t="str">
        <f t="shared" si="21"/>
        <v>C8</v>
      </c>
      <c r="C105" s="61">
        <f t="shared" si="21"/>
        <v>6</v>
      </c>
      <c r="D105" s="12">
        <f>IF(A105="","",INDEX(BASE!A$75:D$78,MATCH(DATOS!G11,BASE!$A$75:$A$78,0),MATCH(DATOS!F11,BASE!$A$75:$D$75,0)))</f>
        <v>115</v>
      </c>
      <c r="E105" s="7">
        <v>0.01</v>
      </c>
      <c r="F105" s="7">
        <v>20000</v>
      </c>
      <c r="G105" s="13">
        <f t="shared" si="22"/>
        <v>4020.7091609274389</v>
      </c>
      <c r="H105" s="13">
        <f t="shared" si="23"/>
        <v>6900</v>
      </c>
      <c r="I105" s="61">
        <f>IF(A105="","",INDEX(BASE!I$3:I$16,MATCH(G105/1000,BASE!I$3:I$16,-1),1))</f>
        <v>4.5</v>
      </c>
      <c r="J105" s="13">
        <f>IF(A105="","",INDEX(BASE!H$3:H$23,MATCH(DATOS!I11,BASE!H$3:H$23,-1),1))</f>
        <v>25</v>
      </c>
      <c r="K105" s="12" t="str">
        <f t="shared" si="24"/>
        <v>6,9 | 4,02</v>
      </c>
      <c r="L105" s="12" t="str">
        <f t="shared" si="25"/>
        <v>CORRECTO</v>
      </c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s="3" customFormat="1" ht="13.2" x14ac:dyDescent="0.25">
      <c r="A106" s="16">
        <f t="shared" si="21"/>
        <v>10</v>
      </c>
      <c r="B106" s="12" t="str">
        <f t="shared" si="21"/>
        <v>C9</v>
      </c>
      <c r="C106" s="61">
        <f t="shared" si="21"/>
        <v>6</v>
      </c>
      <c r="D106" s="12">
        <f>IF(A106="","",INDEX(BASE!A$75:D$78,MATCH(DATOS!G12,BASE!$A$75:$A$78,0),MATCH(DATOS!F12,BASE!$A$75:$D$75,0)))</f>
        <v>115</v>
      </c>
      <c r="E106" s="7">
        <v>0.01</v>
      </c>
      <c r="F106" s="7">
        <v>20000</v>
      </c>
      <c r="G106" s="13">
        <f t="shared" si="22"/>
        <v>4020.7091609274389</v>
      </c>
      <c r="H106" s="13">
        <f t="shared" si="23"/>
        <v>6900</v>
      </c>
      <c r="I106" s="61">
        <f>IF(A106="","",INDEX(BASE!I$3:I$16,MATCH(G106/1000,BASE!I$3:I$16,-1),1))</f>
        <v>4.5</v>
      </c>
      <c r="J106" s="13">
        <f>IF(A106="","",INDEX(BASE!H$3:H$23,MATCH(DATOS!I12,BASE!H$3:H$23,-1),1))</f>
        <v>25</v>
      </c>
      <c r="K106" s="12" t="str">
        <f t="shared" si="24"/>
        <v>6,9 | 4,02</v>
      </c>
      <c r="L106" s="12" t="str">
        <f t="shared" si="25"/>
        <v>CORRECTO</v>
      </c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s="3" customFormat="1" ht="13.2" x14ac:dyDescent="0.25">
      <c r="A107" s="16">
        <f t="shared" si="21"/>
        <v>11</v>
      </c>
      <c r="B107" s="12" t="str">
        <f t="shared" si="21"/>
        <v>C10</v>
      </c>
      <c r="C107" s="61">
        <f t="shared" si="21"/>
        <v>2.5</v>
      </c>
      <c r="D107" s="12">
        <f>IF(A107="","",INDEX(BASE!A$75:D$78,MATCH(DATOS!G13,BASE!$A$75:$A$78,0),MATCH(DATOS!F13,BASE!$A$75:$D$75,0)))</f>
        <v>115</v>
      </c>
      <c r="E107" s="7">
        <v>0.01</v>
      </c>
      <c r="F107" s="7">
        <v>20000</v>
      </c>
      <c r="G107" s="13">
        <f t="shared" si="22"/>
        <v>1897.8586675315469</v>
      </c>
      <c r="H107" s="13">
        <f t="shared" si="23"/>
        <v>2875</v>
      </c>
      <c r="I107" s="61">
        <f>IF(A107="","",INDEX(BASE!I$3:I$16,MATCH(G107/1000,BASE!I$3:I$16,-1),1))</f>
        <v>4.5</v>
      </c>
      <c r="J107" s="13">
        <f>IF(A107="","",INDEX(BASE!H$3:H$23,MATCH(DATOS!I13,BASE!H$3:H$23,-1),1))</f>
        <v>16</v>
      </c>
      <c r="K107" s="12" t="str">
        <f t="shared" si="24"/>
        <v>2,87 | 1,89</v>
      </c>
      <c r="L107" s="12" t="str">
        <f t="shared" si="25"/>
        <v>CORRECTO</v>
      </c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s="3" customFormat="1" ht="13.2" x14ac:dyDescent="0.25">
      <c r="A108" s="16">
        <f t="shared" si="21"/>
        <v>12</v>
      </c>
      <c r="B108" s="12" t="str">
        <f t="shared" si="21"/>
        <v>C11</v>
      </c>
      <c r="C108" s="61">
        <f t="shared" si="21"/>
        <v>1.5</v>
      </c>
      <c r="D108" s="12">
        <f>IF(A108="","",INDEX(BASE!A$75:D$78,MATCH(DATOS!G14,BASE!$A$75:$A$78,0),MATCH(DATOS!F14,BASE!$A$75:$D$75,0)))</f>
        <v>115</v>
      </c>
      <c r="E108" s="7">
        <v>0.01</v>
      </c>
      <c r="F108" s="7">
        <v>20000</v>
      </c>
      <c r="G108" s="13">
        <f t="shared" si="22"/>
        <v>1183.642940808445</v>
      </c>
      <c r="H108" s="13">
        <f t="shared" si="23"/>
        <v>1725</v>
      </c>
      <c r="I108" s="61">
        <f>IF(A108="","",INDEX(BASE!I$3:I$16,MATCH(G108/1000,BASE!I$3:I$16,-1),1))</f>
        <v>4.5</v>
      </c>
      <c r="J108" s="13">
        <f>IF(A108="","",INDEX(BASE!H$3:H$23,MATCH(DATOS!I14,BASE!H$3:H$23,-1),1))</f>
        <v>10</v>
      </c>
      <c r="K108" s="12" t="str">
        <f t="shared" si="24"/>
        <v>1,72 | 1,18</v>
      </c>
      <c r="L108" s="12" t="str">
        <f t="shared" si="25"/>
        <v>CORRECTO</v>
      </c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s="3" customFormat="1" ht="13.2" x14ac:dyDescent="0.25">
      <c r="A109" s="16">
        <f t="shared" si="21"/>
        <v>13</v>
      </c>
      <c r="B109" s="12" t="str">
        <f t="shared" si="21"/>
        <v>C12</v>
      </c>
      <c r="C109" s="61">
        <f t="shared" si="21"/>
        <v>6</v>
      </c>
      <c r="D109" s="12">
        <f>IF(A109="","",INDEX(BASE!A$75:D$78,MATCH(DATOS!G15,BASE!$A$75:$A$78,0),MATCH(DATOS!F15,BASE!$A$75:$D$75,0)))</f>
        <v>115</v>
      </c>
      <c r="E109" s="7">
        <v>0.01</v>
      </c>
      <c r="F109" s="7">
        <v>20000</v>
      </c>
      <c r="G109" s="13">
        <f t="shared" si="22"/>
        <v>4020.7091609274389</v>
      </c>
      <c r="H109" s="13">
        <f t="shared" si="23"/>
        <v>6900</v>
      </c>
      <c r="I109" s="61">
        <f>IF(A109="","",INDEX(BASE!I$3:I$16,MATCH(G109/1000,BASE!I$3:I$16,-1),1))</f>
        <v>4.5</v>
      </c>
      <c r="J109" s="13">
        <f>IF(A109="","",INDEX(BASE!H$3:H$23,MATCH(DATOS!I15,BASE!H$3:H$23,-1),1))</f>
        <v>25</v>
      </c>
      <c r="K109" s="12" t="str">
        <f t="shared" si="24"/>
        <v>6,9 | 4,02</v>
      </c>
      <c r="L109" s="12" t="str">
        <f t="shared" si="25"/>
        <v>CORRECTO</v>
      </c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s="3" customFormat="1" ht="13.2" x14ac:dyDescent="0.25">
      <c r="A110" s="16">
        <f t="shared" si="21"/>
        <v>14</v>
      </c>
      <c r="B110" s="12" t="str">
        <f t="shared" si="21"/>
        <v>C13</v>
      </c>
      <c r="C110" s="61">
        <f t="shared" si="21"/>
        <v>10</v>
      </c>
      <c r="D110" s="12">
        <f>IF(A110="","",INDEX(BASE!A$75:D$78,MATCH(DATOS!G16,BASE!$A$75:$A$78,0),MATCH(DATOS!F16,BASE!$A$75:$D$75,0)))</f>
        <v>143</v>
      </c>
      <c r="E110" s="7">
        <v>0.01</v>
      </c>
      <c r="F110" s="7">
        <v>20000</v>
      </c>
      <c r="G110" s="13">
        <f t="shared" si="22"/>
        <v>4020.709160927438</v>
      </c>
      <c r="H110" s="13">
        <f t="shared" si="23"/>
        <v>14300</v>
      </c>
      <c r="I110" s="61">
        <f>IF(A110="","",INDEX(BASE!I$3:I$16,MATCH(G110/1000,BASE!I$3:I$16,-1),1))</f>
        <v>4.5</v>
      </c>
      <c r="J110" s="13">
        <f>IF(A110="","",INDEX(BASE!H$3:H$23,MATCH(DATOS!I16,BASE!H$3:H$23,-1),1))</f>
        <v>40</v>
      </c>
      <c r="K110" s="12" t="str">
        <f t="shared" si="24"/>
        <v>14,3 | 4,02</v>
      </c>
      <c r="L110" s="12" t="str">
        <f t="shared" si="25"/>
        <v>CORRECTO</v>
      </c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s="3" customFormat="1" ht="13.2" x14ac:dyDescent="0.25">
      <c r="A111" s="16">
        <f t="shared" si="21"/>
        <v>15</v>
      </c>
      <c r="B111" s="12" t="str">
        <f t="shared" si="21"/>
        <v>C.FV</v>
      </c>
      <c r="C111" s="61">
        <f t="shared" si="21"/>
        <v>10</v>
      </c>
      <c r="D111" s="12">
        <f>IF(A111="","",INDEX(BASE!A$75:D$78,MATCH(DATOS!G17,BASE!$A$75:$A$78,0),MATCH(DATOS!F17,BASE!$A$75:$D$75,0)))</f>
        <v>143</v>
      </c>
      <c r="E111" s="7">
        <v>0.01</v>
      </c>
      <c r="F111" s="7">
        <v>20000</v>
      </c>
      <c r="G111" s="13">
        <f t="shared" si="22"/>
        <v>4020.709160927438</v>
      </c>
      <c r="H111" s="13">
        <f t="shared" si="23"/>
        <v>14300</v>
      </c>
      <c r="I111" s="61">
        <f>IF(A111="","",INDEX(BASE!I$3:I$16,MATCH(G111/1000,BASE!I$3:I$16,-1),1))</f>
        <v>4.5</v>
      </c>
      <c r="J111" s="13">
        <f>IF(A111="","",INDEX(BASE!H$3:H$23,MATCH(DATOS!I17,BASE!H$3:H$23,-1),1))</f>
        <v>40</v>
      </c>
      <c r="K111" s="12" t="str">
        <f t="shared" si="24"/>
        <v>14,3 | 4,02</v>
      </c>
      <c r="L111" s="12" t="str">
        <f t="shared" si="25"/>
        <v>CORRECTO</v>
      </c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s="3" customFormat="1" ht="13.2" x14ac:dyDescent="0.25">
      <c r="A112" s="16" t="str">
        <f t="shared" si="21"/>
        <v/>
      </c>
      <c r="B112" s="12" t="str">
        <f t="shared" si="21"/>
        <v/>
      </c>
      <c r="C112" s="61" t="str">
        <f t="shared" si="21"/>
        <v/>
      </c>
      <c r="D112" s="12" t="str">
        <f>IF(A112="","",INDEX(BASE!A$75:D$78,MATCH(DATOS!G18,BASE!$A$75:$A$78,0),MATCH(DATOS!F18,BASE!$A$75:$D$75,0)))</f>
        <v/>
      </c>
      <c r="E112" s="7"/>
      <c r="F112" s="7"/>
      <c r="G112" s="13" t="str">
        <f t="shared" si="22"/>
        <v/>
      </c>
      <c r="H112" s="13" t="str">
        <f t="shared" si="23"/>
        <v/>
      </c>
      <c r="I112" s="61" t="str">
        <f>IF(A112="","",INDEX(BASE!I$3:I$16,MATCH(G112/1000,BASE!I$3:I$16,-1),1))</f>
        <v/>
      </c>
      <c r="J112" s="13" t="str">
        <f>IF(A112="","",INDEX(BASE!H$3:H$23,MATCH(DATOS!I18,BASE!H$3:H$23,-1),1))</f>
        <v/>
      </c>
      <c r="K112" s="12" t="str">
        <f t="shared" si="24"/>
        <v/>
      </c>
      <c r="L112" s="12" t="str">
        <f t="shared" si="25"/>
        <v/>
      </c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s="3" customFormat="1" ht="13.2" x14ac:dyDescent="0.25">
      <c r="A113" s="16" t="str">
        <f t="shared" ref="A113:C116" si="26">IF(A19=0,"",A19)</f>
        <v/>
      </c>
      <c r="B113" s="12" t="str">
        <f t="shared" si="26"/>
        <v/>
      </c>
      <c r="C113" s="61" t="str">
        <f t="shared" si="26"/>
        <v/>
      </c>
      <c r="D113" s="12" t="str">
        <f>IF(A113="","",INDEX(BASE!A$75:D$78,MATCH(DATOS!G19,BASE!$A$75:$A$78,0),MATCH(DATOS!F19,BASE!$A$75:$D$75,0)))</f>
        <v/>
      </c>
      <c r="E113" s="7"/>
      <c r="F113" s="7"/>
      <c r="G113" s="13" t="str">
        <f t="shared" si="22"/>
        <v/>
      </c>
      <c r="H113" s="13" t="str">
        <f t="shared" si="23"/>
        <v/>
      </c>
      <c r="I113" s="61" t="str">
        <f>IF(A113="","",INDEX(BASE!I$3:I$16,MATCH(G113/1000,BASE!I$3:I$16,-1),1))</f>
        <v/>
      </c>
      <c r="J113" s="13" t="str">
        <f>IF(A113="","",INDEX(BASE!H$3:H$23,MATCH(DATOS!I19,BASE!H$3:H$23,-1),1))</f>
        <v/>
      </c>
      <c r="K113" s="12" t="str">
        <f t="shared" si="24"/>
        <v/>
      </c>
      <c r="L113" s="12" t="str">
        <f t="shared" si="25"/>
        <v/>
      </c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s="3" customFormat="1" ht="13.2" x14ac:dyDescent="0.25">
      <c r="A114" s="16" t="str">
        <f t="shared" si="26"/>
        <v/>
      </c>
      <c r="B114" s="12" t="str">
        <f t="shared" si="26"/>
        <v/>
      </c>
      <c r="C114" s="61" t="str">
        <f t="shared" si="26"/>
        <v/>
      </c>
      <c r="D114" s="12" t="str">
        <f>IF(A114="","",INDEX(BASE!A$75:D$78,MATCH(DATOS!G20,BASE!$A$75:$A$78,0),MATCH(DATOS!F20,BASE!$A$75:$D$75,0)))</f>
        <v/>
      </c>
      <c r="E114" s="7"/>
      <c r="F114" s="7"/>
      <c r="G114" s="13" t="str">
        <f t="shared" si="22"/>
        <v/>
      </c>
      <c r="H114" s="13" t="str">
        <f t="shared" si="23"/>
        <v/>
      </c>
      <c r="I114" s="61" t="str">
        <f>IF(A114="","",INDEX(BASE!I$3:I$16,MATCH(G114/1000,BASE!I$3:I$16,-1),1))</f>
        <v/>
      </c>
      <c r="J114" s="13" t="str">
        <f>IF(A114="","",INDEX(BASE!H$3:H$23,MATCH(DATOS!I20,BASE!H$3:H$23,-1),1))</f>
        <v/>
      </c>
      <c r="K114" s="12" t="str">
        <f t="shared" si="24"/>
        <v/>
      </c>
      <c r="L114" s="12" t="str">
        <f t="shared" si="25"/>
        <v/>
      </c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s="3" customFormat="1" ht="13.2" x14ac:dyDescent="0.25">
      <c r="A115" s="16" t="str">
        <f t="shared" si="26"/>
        <v/>
      </c>
      <c r="B115" s="12" t="str">
        <f t="shared" si="26"/>
        <v/>
      </c>
      <c r="C115" s="61" t="str">
        <f t="shared" si="26"/>
        <v/>
      </c>
      <c r="D115" s="12" t="str">
        <f>IF(A115="","",INDEX(BASE!A$75:D$78,MATCH(DATOS!G21,BASE!$A$75:$A$78,0),MATCH(DATOS!F21,BASE!$A$75:$D$75,0)))</f>
        <v/>
      </c>
      <c r="E115" s="7"/>
      <c r="F115" s="7"/>
      <c r="G115" s="13" t="str">
        <f t="shared" si="22"/>
        <v/>
      </c>
      <c r="H115" s="13" t="str">
        <f t="shared" si="23"/>
        <v/>
      </c>
      <c r="I115" s="61" t="str">
        <f>IF(A115="","",INDEX(BASE!I$3:I$16,MATCH(G115/1000,BASE!I$3:I$16,-1),1))</f>
        <v/>
      </c>
      <c r="J115" s="13" t="str">
        <f>IF(A115="","",INDEX(BASE!H$3:H$23,MATCH(DATOS!I21,BASE!H$3:H$23,-1),1))</f>
        <v/>
      </c>
      <c r="K115" s="12" t="str">
        <f t="shared" si="24"/>
        <v/>
      </c>
      <c r="L115" s="12" t="str">
        <f t="shared" si="25"/>
        <v/>
      </c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s="3" customFormat="1" ht="13.2" x14ac:dyDescent="0.25">
      <c r="A116" s="16" t="str">
        <f t="shared" si="26"/>
        <v/>
      </c>
      <c r="B116" s="12" t="str">
        <f t="shared" si="26"/>
        <v/>
      </c>
      <c r="C116" s="61" t="str">
        <f t="shared" si="26"/>
        <v/>
      </c>
      <c r="D116" s="12" t="str">
        <f>IF(A116="","",INDEX(BASE!A$75:D$78,MATCH(DATOS!G22,BASE!$A$75:$A$78,0),MATCH(DATOS!F22,BASE!$A$75:$D$75,0)))</f>
        <v/>
      </c>
      <c r="E116" s="7"/>
      <c r="F116" s="7"/>
      <c r="G116" s="13" t="str">
        <f t="shared" si="22"/>
        <v/>
      </c>
      <c r="H116" s="13" t="str">
        <f t="shared" si="23"/>
        <v/>
      </c>
      <c r="I116" s="61" t="str">
        <f>IF(A116="","",INDEX(BASE!I$3:I$16,MATCH(G116/1000,BASE!I$3:I$16,-1),1))</f>
        <v/>
      </c>
      <c r="J116" s="13" t="str">
        <f>IF(A116="","",INDEX(BASE!H$3:H$23,MATCH(DATOS!I22,BASE!H$3:H$23,-1),1))</f>
        <v/>
      </c>
      <c r="K116" s="12" t="str">
        <f t="shared" si="24"/>
        <v/>
      </c>
      <c r="L116" s="12" t="str">
        <f t="shared" si="25"/>
        <v/>
      </c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s="22" customFormat="1" ht="12" x14ac:dyDescent="0.2">
      <c r="A117" s="129" t="s">
        <v>204</v>
      </c>
      <c r="B117" s="130" t="s">
        <v>121</v>
      </c>
      <c r="C117" s="130" t="s">
        <v>108</v>
      </c>
      <c r="D117" s="130" t="s">
        <v>133</v>
      </c>
      <c r="E117" s="130" t="s">
        <v>116</v>
      </c>
      <c r="F117" s="130" t="s">
        <v>117</v>
      </c>
      <c r="G117" s="130" t="s">
        <v>207</v>
      </c>
      <c r="H117" s="130" t="s">
        <v>124</v>
      </c>
      <c r="I117" s="130" t="s">
        <v>209</v>
      </c>
      <c r="J117" s="130" t="s">
        <v>180</v>
      </c>
      <c r="K117" s="130" t="s">
        <v>211</v>
      </c>
      <c r="L117" s="130" t="s">
        <v>210</v>
      </c>
      <c r="M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</row>
    <row r="118" spans="1:27" s="3" customFormat="1" ht="13.2" x14ac:dyDescent="0.25">
      <c r="A118" s="131" t="s">
        <v>186</v>
      </c>
      <c r="B118" s="134" t="s">
        <v>191</v>
      </c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s="3" customFormat="1" ht="13.2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s="3" customFormat="1" ht="13.2" x14ac:dyDescent="0.25">
      <c r="A120" s="132" t="s">
        <v>68</v>
      </c>
      <c r="B120" s="132"/>
      <c r="C120" s="132"/>
      <c r="D120" s="132"/>
      <c r="E120" s="132"/>
      <c r="F120" s="132"/>
      <c r="G120" s="132"/>
      <c r="H120" s="132"/>
      <c r="I120" s="132"/>
      <c r="J120" s="132"/>
      <c r="K120" s="132"/>
      <c r="L120" s="13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s="3" customFormat="1" ht="26.4" x14ac:dyDescent="0.25">
      <c r="A121" s="4" t="s">
        <v>0</v>
      </c>
      <c r="B121" s="4" t="s">
        <v>190</v>
      </c>
      <c r="C121" s="4" t="s">
        <v>59</v>
      </c>
      <c r="D121" s="4" t="s">
        <v>129</v>
      </c>
      <c r="E121" s="4" t="s">
        <v>60</v>
      </c>
      <c r="F121" s="4" t="s">
        <v>114</v>
      </c>
      <c r="G121" s="4" t="s">
        <v>115</v>
      </c>
      <c r="H121" s="4" t="s">
        <v>58</v>
      </c>
      <c r="I121" s="4" t="s">
        <v>110</v>
      </c>
      <c r="J121" s="4" t="s">
        <v>61</v>
      </c>
      <c r="K121" s="4" t="s">
        <v>70</v>
      </c>
      <c r="L121" s="4" t="s">
        <v>200</v>
      </c>
      <c r="M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s="3" customFormat="1" ht="13.2" x14ac:dyDescent="0.25">
      <c r="A122" s="12">
        <f t="shared" ref="A122:A141" si="27">A3</f>
        <v>1</v>
      </c>
      <c r="B122" s="12" t="str">
        <f t="shared" ref="B122:C137" si="28">IF(B3=0,"",B3)</f>
        <v>DI</v>
      </c>
      <c r="C122" s="61">
        <f t="shared" si="28"/>
        <v>16</v>
      </c>
      <c r="D122" s="12">
        <f>IF(A122="","",VLOOKUP(J3,BASE!J$3:L$23,3,FALSE)*E3)</f>
        <v>3</v>
      </c>
      <c r="E122" s="13">
        <f>IF(A122="","",VLOOKUP(C122,BASE!A$3:B$19,2,FALSE))</f>
        <v>8.4</v>
      </c>
      <c r="F122" s="13">
        <f t="shared" ref="F122:F125" si="29">IF(A122="","",D122*(PI()/4)*E122^2)</f>
        <v>166.25308322797187</v>
      </c>
      <c r="G122" s="9" t="s">
        <v>78</v>
      </c>
      <c r="H122" s="12">
        <f>IF(A122="","",VLOOKUP(G122,BASE!A$82:B$85,2,FALSE))</f>
        <v>3</v>
      </c>
      <c r="I122" s="13">
        <f>IF(A122="","",H122*F122)</f>
        <v>498.75924968391564</v>
      </c>
      <c r="J122" s="12" t="str">
        <f>IF(A97="","",INDEX(BASE!A$90:B$105,MATCH(I122,BASE!B$90:B$105,1)+1,1))</f>
        <v>Ø32 [mm]</v>
      </c>
      <c r="K122" s="12" t="str">
        <f>IF(A97="","",INDEX(BASE!C$90:D$102,MATCH(I122,BASE!D$90:D$102,1)+1,1))</f>
        <v>□60x60 [mm]</v>
      </c>
      <c r="L122" s="18">
        <f>IF(A122="","",F122/MIN(VLOOKUP(K122,BASE!C$90:D$105,2,FALSE),VLOOKUP(J122,BASE!A$90:B$105,2,FALSE)))</f>
        <v>0.29037037037037045</v>
      </c>
      <c r="M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s="3" customFormat="1" ht="13.2" x14ac:dyDescent="0.25">
      <c r="A123" s="12">
        <f t="shared" si="27"/>
        <v>2</v>
      </c>
      <c r="B123" s="12" t="str">
        <f t="shared" si="28"/>
        <v>C1</v>
      </c>
      <c r="C123" s="61">
        <f t="shared" si="28"/>
        <v>1.5</v>
      </c>
      <c r="D123" s="12">
        <f>IF(A123="","",VLOOKUP(J4,BASE!J$3:L$23,3,FALSE)*E4)</f>
        <v>3</v>
      </c>
      <c r="E123" s="13">
        <f>IF(A123="","",VLOOKUP(C123,BASE!A$3:B$19,2,FALSE))</f>
        <v>4.8</v>
      </c>
      <c r="F123" s="13">
        <f t="shared" si="29"/>
        <v>54.286721054031624</v>
      </c>
      <c r="G123" s="9" t="s">
        <v>78</v>
      </c>
      <c r="H123" s="12">
        <f>IF(A123="","",VLOOKUP(G123,BASE!A$82:B$85,2,FALSE))</f>
        <v>3</v>
      </c>
      <c r="I123" s="13">
        <f t="shared" ref="I123:I141" si="30">IF(A123="","",H123*F123)</f>
        <v>162.86016316209486</v>
      </c>
      <c r="J123" s="12" t="str">
        <f>IF(A98="","",INDEX(BASE!A$90:B$105,MATCH(I123,BASE!B$90:B$105,1)+1,1))</f>
        <v>Ø20 [mm]</v>
      </c>
      <c r="K123" s="12" t="str">
        <f>IF(A98="","",INDEX(BASE!C$90:D$102,MATCH(I123,BASE!D$90:D$102,1)+1,1))</f>
        <v>□60x60 [mm]</v>
      </c>
      <c r="L123" s="18">
        <f>IF(A123="","",F123/MIN(VLOOKUP(K123,BASE!C$90:D$105,2,FALSE),VLOOKUP(J123,BASE!A$90:B$105,2,FALSE)))</f>
        <v>0.27</v>
      </c>
      <c r="M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s="3" customFormat="1" ht="13.2" x14ac:dyDescent="0.25">
      <c r="A124" s="12">
        <f t="shared" si="27"/>
        <v>3</v>
      </c>
      <c r="B124" s="12" t="str">
        <f t="shared" si="28"/>
        <v>C2</v>
      </c>
      <c r="C124" s="61">
        <f t="shared" si="28"/>
        <v>2.5</v>
      </c>
      <c r="D124" s="12">
        <f>IF(A124="","",VLOOKUP(J5,BASE!J$3:L$23,3,FALSE)*E5)</f>
        <v>3</v>
      </c>
      <c r="E124" s="13">
        <f>IF(A124="","",VLOOKUP(C124,BASE!A$3:B$19,2,FALSE))</f>
        <v>5.15</v>
      </c>
      <c r="F124" s="13">
        <f t="shared" si="29"/>
        <v>62.492168366126478</v>
      </c>
      <c r="G124" s="9" t="s">
        <v>78</v>
      </c>
      <c r="H124" s="12">
        <f>IF(A124="","",VLOOKUP(G124,BASE!A$82:B$85,2,FALSE))</f>
        <v>3</v>
      </c>
      <c r="I124" s="13">
        <f t="shared" si="30"/>
        <v>187.47650509837945</v>
      </c>
      <c r="J124" s="12" t="str">
        <f>IF(A99="","",INDEX(BASE!A$90:B$105,MATCH(I124,BASE!B$90:B$105,1)+1,1))</f>
        <v>Ø20 [mm]</v>
      </c>
      <c r="K124" s="12" t="str">
        <f>IF(A99="","",INDEX(BASE!C$90:D$102,MATCH(I124,BASE!D$90:D$102,1)+1,1))</f>
        <v>□60x60 [mm]</v>
      </c>
      <c r="L124" s="18">
        <f>IF(A124="","",F124/MIN(VLOOKUP(K124,BASE!C$90:D$105,2,FALSE),VLOOKUP(J124,BASE!A$90:B$105,2,FALSE)))</f>
        <v>0.31081054687500004</v>
      </c>
      <c r="M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s="3" customFormat="1" ht="13.2" x14ac:dyDescent="0.25">
      <c r="A125" s="12">
        <f t="shared" si="27"/>
        <v>4</v>
      </c>
      <c r="B125" s="12" t="str">
        <f t="shared" si="28"/>
        <v>C3</v>
      </c>
      <c r="C125" s="61">
        <f t="shared" si="28"/>
        <v>6</v>
      </c>
      <c r="D125" s="12">
        <f>IF(A125="","",VLOOKUP(J6,BASE!J$3:L$23,3,FALSE)*E6)</f>
        <v>3</v>
      </c>
      <c r="E125" s="13">
        <f>IF(A125="","",VLOOKUP(C125,BASE!A$3:B$19,2,FALSE))</f>
        <v>6.3</v>
      </c>
      <c r="F125" s="13">
        <f t="shared" si="29"/>
        <v>93.517359315734154</v>
      </c>
      <c r="G125" s="9" t="s">
        <v>78</v>
      </c>
      <c r="H125" s="12">
        <f>IF(A125="","",VLOOKUP(G125,BASE!A$82:B$85,2,FALSE))</f>
        <v>3</v>
      </c>
      <c r="I125" s="13">
        <f t="shared" si="30"/>
        <v>280.55207794720246</v>
      </c>
      <c r="J125" s="12" t="str">
        <f>IF(A100="","",INDEX(BASE!A$90:B$105,MATCH(I125,BASE!B$90:B$105,1)+1,1))</f>
        <v>Ø25 [mm]</v>
      </c>
      <c r="K125" s="12" t="str">
        <f>IF(A100="","",INDEX(BASE!C$90:D$102,MATCH(I125,BASE!D$90:D$102,1)+1,1))</f>
        <v>□60x60 [mm]</v>
      </c>
      <c r="L125" s="18">
        <f>IF(A125="","",F125/MIN(VLOOKUP(K125,BASE!C$90:D$105,2,FALSE),VLOOKUP(J125,BASE!A$90:B$105,2,FALSE)))</f>
        <v>0.29767499999999997</v>
      </c>
      <c r="M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s="3" customFormat="1" ht="13.2" x14ac:dyDescent="0.25">
      <c r="A126" s="12">
        <f t="shared" si="27"/>
        <v>5</v>
      </c>
      <c r="B126" s="12" t="str">
        <f t="shared" si="28"/>
        <v>C4</v>
      </c>
      <c r="C126" s="61">
        <f t="shared" si="28"/>
        <v>4</v>
      </c>
      <c r="D126" s="12">
        <f>IF(A126="","",VLOOKUP(J7,BASE!J$3:L$23,3,FALSE)*E7)</f>
        <v>3</v>
      </c>
      <c r="E126" s="13">
        <f>IF(A126="","",VLOOKUP(C126,BASE!A$3:B$19,2,FALSE))</f>
        <v>5.6</v>
      </c>
      <c r="F126" s="13">
        <f>IF(A126="","",D126*(PI()/4)*E126^2)</f>
        <v>73.890259212431928</v>
      </c>
      <c r="G126" s="9" t="s">
        <v>78</v>
      </c>
      <c r="H126" s="12">
        <f>IF(A126="","",VLOOKUP(G126,BASE!A$82:B$85,2,FALSE))</f>
        <v>3</v>
      </c>
      <c r="I126" s="13">
        <f t="shared" si="30"/>
        <v>221.67077763729577</v>
      </c>
      <c r="J126" s="12" t="str">
        <f>IF(A101="","",INDEX(BASE!A$90:B$105,MATCH(I126,BASE!B$90:B$105,1)+1,1))</f>
        <v>Ø25 [mm]</v>
      </c>
      <c r="K126" s="12" t="str">
        <f>IF(A101="","",INDEX(BASE!C$90:D$102,MATCH(I126,BASE!D$90:D$102,1)+1,1))</f>
        <v>□60x60 [mm]</v>
      </c>
      <c r="L126" s="18">
        <f>IF(A126="","",F126/MIN(VLOOKUP(K126,BASE!C$90:D$105,2,FALSE),VLOOKUP(J126,BASE!A$90:B$105,2,FALSE)))</f>
        <v>0.23519999999999996</v>
      </c>
      <c r="M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s="3" customFormat="1" ht="13.2" x14ac:dyDescent="0.25">
      <c r="A127" s="12">
        <f t="shared" si="27"/>
        <v>6</v>
      </c>
      <c r="B127" s="12" t="str">
        <f t="shared" si="28"/>
        <v>C5</v>
      </c>
      <c r="C127" s="61">
        <f t="shared" si="28"/>
        <v>2.5</v>
      </c>
      <c r="D127" s="12">
        <f>IF(A127="","",VLOOKUP(J8,BASE!J$3:L$23,3,FALSE)*E8)</f>
        <v>3</v>
      </c>
      <c r="E127" s="13">
        <f>IF(A127="","",VLOOKUP(C127,BASE!A$3:B$19,2,FALSE))</f>
        <v>5.15</v>
      </c>
      <c r="F127" s="13">
        <f t="shared" ref="F127:F141" si="31">IF(A127="","",D127*(PI()/4)*E127^2)</f>
        <v>62.492168366126478</v>
      </c>
      <c r="G127" s="9" t="s">
        <v>78</v>
      </c>
      <c r="H127" s="12">
        <f>IF(A127="","",VLOOKUP(G127,BASE!A$82:B$85,2,FALSE))</f>
        <v>3</v>
      </c>
      <c r="I127" s="13">
        <f t="shared" si="30"/>
        <v>187.47650509837945</v>
      </c>
      <c r="J127" s="12" t="str">
        <f>IF(A102="","",INDEX(BASE!A$90:B$105,MATCH(I127,BASE!B$90:B$105,1)+1,1))</f>
        <v>Ø20 [mm]</v>
      </c>
      <c r="K127" s="12" t="str">
        <f>IF(A102="","",INDEX(BASE!C$90:D$102,MATCH(I127,BASE!D$90:D$102,1)+1,1))</f>
        <v>□60x60 [mm]</v>
      </c>
      <c r="L127" s="18">
        <f>IF(A127="","",F127/MIN(VLOOKUP(K127,BASE!C$90:D$105,2,FALSE),VLOOKUP(J127,BASE!A$90:B$105,2,FALSE)))</f>
        <v>0.31081054687500004</v>
      </c>
      <c r="M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s="3" customFormat="1" ht="13.2" x14ac:dyDescent="0.25">
      <c r="A128" s="12">
        <f t="shared" si="27"/>
        <v>7</v>
      </c>
      <c r="B128" s="12" t="str">
        <f t="shared" si="28"/>
        <v>C6</v>
      </c>
      <c r="C128" s="61">
        <f t="shared" si="28"/>
        <v>1.5</v>
      </c>
      <c r="D128" s="12">
        <f>IF(A128="","",VLOOKUP(J9,BASE!J$3:L$23,3,FALSE)*E9)</f>
        <v>3</v>
      </c>
      <c r="E128" s="13">
        <f>IF(A128="","",VLOOKUP(C128,BASE!A$3:B$19,2,FALSE))</f>
        <v>4.8</v>
      </c>
      <c r="F128" s="13">
        <f t="shared" si="31"/>
        <v>54.286721054031624</v>
      </c>
      <c r="G128" s="9" t="s">
        <v>78</v>
      </c>
      <c r="H128" s="12">
        <f>IF(A128="","",VLOOKUP(G128,BASE!A$82:B$85,2,FALSE))</f>
        <v>3</v>
      </c>
      <c r="I128" s="13">
        <f t="shared" si="30"/>
        <v>162.86016316209486</v>
      </c>
      <c r="J128" s="12" t="str">
        <f>IF(A103="","",INDEX(BASE!A$90:B$105,MATCH(I128,BASE!B$90:B$105,1)+1,1))</f>
        <v>Ø20 [mm]</v>
      </c>
      <c r="K128" s="12" t="str">
        <f>IF(A103="","",INDEX(BASE!C$90:D$102,MATCH(I128,BASE!D$90:D$102,1)+1,1))</f>
        <v>□60x60 [mm]</v>
      </c>
      <c r="L128" s="18">
        <f>IF(A128="","",F128/MIN(VLOOKUP(K128,BASE!C$90:D$105,2,FALSE),VLOOKUP(J128,BASE!A$90:B$105,2,FALSE)))</f>
        <v>0.27</v>
      </c>
      <c r="M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s="3" customFormat="1" ht="13.2" x14ac:dyDescent="0.25">
      <c r="A129" s="12">
        <f t="shared" si="27"/>
        <v>8</v>
      </c>
      <c r="B129" s="12" t="str">
        <f t="shared" si="28"/>
        <v>C7</v>
      </c>
      <c r="C129" s="61">
        <f t="shared" si="28"/>
        <v>2.5</v>
      </c>
      <c r="D129" s="12">
        <f>IF(A129="","",VLOOKUP(J10,BASE!J$3:L$23,3,FALSE)*E10)</f>
        <v>3</v>
      </c>
      <c r="E129" s="13">
        <f>IF(A129="","",VLOOKUP(C129,BASE!A$3:B$19,2,FALSE))</f>
        <v>5.15</v>
      </c>
      <c r="F129" s="13">
        <f t="shared" si="31"/>
        <v>62.492168366126478</v>
      </c>
      <c r="G129" s="9" t="s">
        <v>78</v>
      </c>
      <c r="H129" s="12">
        <f>IF(A129="","",VLOOKUP(G129,BASE!A$82:B$85,2,FALSE))</f>
        <v>3</v>
      </c>
      <c r="I129" s="13">
        <f t="shared" si="30"/>
        <v>187.47650509837945</v>
      </c>
      <c r="J129" s="12" t="str">
        <f>IF(A104="","",INDEX(BASE!A$90:B$105,MATCH(I129,BASE!B$90:B$105,1)+1,1))</f>
        <v>Ø20 [mm]</v>
      </c>
      <c r="K129" s="12" t="str">
        <f>IF(A104="","",INDEX(BASE!C$90:D$102,MATCH(I129,BASE!D$90:D$102,1)+1,1))</f>
        <v>□60x60 [mm]</v>
      </c>
      <c r="L129" s="18">
        <f>IF(A129="","",F129/MIN(VLOOKUP(K129,BASE!C$90:D$105,2,FALSE),VLOOKUP(J129,BASE!A$90:B$105,2,FALSE)))</f>
        <v>0.31081054687500004</v>
      </c>
      <c r="M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s="3" customFormat="1" ht="13.2" x14ac:dyDescent="0.25">
      <c r="A130" s="12">
        <f t="shared" si="27"/>
        <v>9</v>
      </c>
      <c r="B130" s="12" t="str">
        <f t="shared" si="28"/>
        <v>C8</v>
      </c>
      <c r="C130" s="61">
        <f t="shared" si="28"/>
        <v>6</v>
      </c>
      <c r="D130" s="12">
        <f>IF(A130="","",VLOOKUP(J11,BASE!J$3:L$23,3,FALSE)*E11)</f>
        <v>3</v>
      </c>
      <c r="E130" s="13">
        <f>IF(A130="","",VLOOKUP(C130,BASE!A$3:B$19,2,FALSE))</f>
        <v>6.3</v>
      </c>
      <c r="F130" s="13">
        <f t="shared" si="31"/>
        <v>93.517359315734154</v>
      </c>
      <c r="G130" s="9" t="s">
        <v>78</v>
      </c>
      <c r="H130" s="12">
        <f>IF(A130="","",VLOOKUP(G130,BASE!A$82:B$85,2,FALSE))</f>
        <v>3</v>
      </c>
      <c r="I130" s="13">
        <f t="shared" si="30"/>
        <v>280.55207794720246</v>
      </c>
      <c r="J130" s="12" t="str">
        <f>IF(A105="","",INDEX(BASE!A$90:B$105,MATCH(I130,BASE!B$90:B$105,1)+1,1))</f>
        <v>Ø25 [mm]</v>
      </c>
      <c r="K130" s="12" t="str">
        <f>IF(A105="","",INDEX(BASE!C$90:D$102,MATCH(I130,BASE!D$90:D$102,1)+1,1))</f>
        <v>□60x60 [mm]</v>
      </c>
      <c r="L130" s="18">
        <f>IF(A130="","",F130/MIN(VLOOKUP(K130,BASE!C$90:D$105,2,FALSE),VLOOKUP(J130,BASE!A$90:B$105,2,FALSE)))</f>
        <v>0.29767499999999997</v>
      </c>
      <c r="M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s="3" customFormat="1" ht="13.2" x14ac:dyDescent="0.25">
      <c r="A131" s="12">
        <f t="shared" si="27"/>
        <v>10</v>
      </c>
      <c r="B131" s="12" t="str">
        <f t="shared" si="28"/>
        <v>C9</v>
      </c>
      <c r="C131" s="61">
        <f t="shared" si="28"/>
        <v>6</v>
      </c>
      <c r="D131" s="12">
        <f>IF(A131="","",VLOOKUP(J12,BASE!J$3:L$23,3,FALSE)*E12)</f>
        <v>3</v>
      </c>
      <c r="E131" s="13">
        <f>IF(A131="","",VLOOKUP(C131,BASE!A$3:B$19,2,FALSE))</f>
        <v>6.3</v>
      </c>
      <c r="F131" s="13">
        <f t="shared" si="31"/>
        <v>93.517359315734154</v>
      </c>
      <c r="G131" s="9" t="s">
        <v>78</v>
      </c>
      <c r="H131" s="12">
        <f>IF(A131="","",VLOOKUP(G131,BASE!A$82:B$85,2,FALSE))</f>
        <v>3</v>
      </c>
      <c r="I131" s="13">
        <f t="shared" si="30"/>
        <v>280.55207794720246</v>
      </c>
      <c r="J131" s="12" t="str">
        <f>IF(A106="","",INDEX(BASE!A$90:B$105,MATCH(I131,BASE!B$90:B$105,1)+1,1))</f>
        <v>Ø25 [mm]</v>
      </c>
      <c r="K131" s="12" t="str">
        <f>IF(A106="","",INDEX(BASE!C$90:D$102,MATCH(I131,BASE!D$90:D$102,1)+1,1))</f>
        <v>□60x60 [mm]</v>
      </c>
      <c r="L131" s="18">
        <f>IF(A131="","",F131/MIN(VLOOKUP(K131,BASE!C$90:D$105,2,FALSE),VLOOKUP(J131,BASE!A$90:B$105,2,FALSE)))</f>
        <v>0.29767499999999997</v>
      </c>
      <c r="M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s="3" customFormat="1" ht="13.2" x14ac:dyDescent="0.25">
      <c r="A132" s="12">
        <f t="shared" si="27"/>
        <v>11</v>
      </c>
      <c r="B132" s="12" t="str">
        <f t="shared" si="28"/>
        <v>C10</v>
      </c>
      <c r="C132" s="61">
        <f t="shared" si="28"/>
        <v>2.5</v>
      </c>
      <c r="D132" s="12">
        <f>IF(A132="","",VLOOKUP(J13,BASE!J$3:L$23,3,FALSE)*E13)</f>
        <v>3</v>
      </c>
      <c r="E132" s="13">
        <f>IF(A132="","",VLOOKUP(C132,BASE!A$3:B$19,2,FALSE))</f>
        <v>5.15</v>
      </c>
      <c r="F132" s="13">
        <f t="shared" si="31"/>
        <v>62.492168366126478</v>
      </c>
      <c r="G132" s="9" t="s">
        <v>78</v>
      </c>
      <c r="H132" s="12">
        <f>IF(A132="","",VLOOKUP(G132,BASE!A$82:B$85,2,FALSE))</f>
        <v>3</v>
      </c>
      <c r="I132" s="13">
        <f t="shared" si="30"/>
        <v>187.47650509837945</v>
      </c>
      <c r="J132" s="12" t="str">
        <f>IF(A107="","",INDEX(BASE!A$90:B$105,MATCH(I132,BASE!B$90:B$105,1)+1,1))</f>
        <v>Ø20 [mm]</v>
      </c>
      <c r="K132" s="12" t="str">
        <f>IF(A107="","",INDEX(BASE!C$90:D$102,MATCH(I132,BASE!D$90:D$102,1)+1,1))</f>
        <v>□60x60 [mm]</v>
      </c>
      <c r="L132" s="18">
        <f>IF(A132="","",F132/MIN(VLOOKUP(K132,BASE!C$90:D$105,2,FALSE),VLOOKUP(J132,BASE!A$90:B$105,2,FALSE)))</f>
        <v>0.31081054687500004</v>
      </c>
      <c r="M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s="3" customFormat="1" ht="13.2" x14ac:dyDescent="0.25">
      <c r="A133" s="12">
        <f t="shared" si="27"/>
        <v>12</v>
      </c>
      <c r="B133" s="12" t="str">
        <f t="shared" si="28"/>
        <v>C11</v>
      </c>
      <c r="C133" s="61">
        <f t="shared" si="28"/>
        <v>1.5</v>
      </c>
      <c r="D133" s="12">
        <f>IF(A133="","",VLOOKUP(J14,BASE!J$3:L$23,3,FALSE)*E14)</f>
        <v>3</v>
      </c>
      <c r="E133" s="13">
        <f>IF(A133="","",VLOOKUP(C133,BASE!A$3:B$19,2,FALSE))</f>
        <v>4.8</v>
      </c>
      <c r="F133" s="13">
        <f t="shared" si="31"/>
        <v>54.286721054031624</v>
      </c>
      <c r="G133" s="9" t="s">
        <v>78</v>
      </c>
      <c r="H133" s="12">
        <f>IF(A133="","",VLOOKUP(G133,BASE!A$82:B$85,2,FALSE))</f>
        <v>3</v>
      </c>
      <c r="I133" s="13">
        <f t="shared" si="30"/>
        <v>162.86016316209486</v>
      </c>
      <c r="J133" s="12" t="str">
        <f>IF(A108="","",INDEX(BASE!A$90:B$105,MATCH(I133,BASE!B$90:B$105,1)+1,1))</f>
        <v>Ø20 [mm]</v>
      </c>
      <c r="K133" s="12" t="str">
        <f>IF(A108="","",INDEX(BASE!C$90:D$102,MATCH(I133,BASE!D$90:D$102,1)+1,1))</f>
        <v>□60x60 [mm]</v>
      </c>
      <c r="L133" s="18">
        <f>IF(A133="","",F133/MIN(VLOOKUP(K133,BASE!C$90:D$105,2,FALSE),VLOOKUP(J133,BASE!A$90:B$105,2,FALSE)))</f>
        <v>0.27</v>
      </c>
      <c r="M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s="3" customFormat="1" ht="13.2" x14ac:dyDescent="0.25">
      <c r="A134" s="12">
        <f t="shared" si="27"/>
        <v>13</v>
      </c>
      <c r="B134" s="12" t="str">
        <f t="shared" si="28"/>
        <v>C12</v>
      </c>
      <c r="C134" s="61">
        <f t="shared" si="28"/>
        <v>6</v>
      </c>
      <c r="D134" s="12">
        <f>IF(A134="","",VLOOKUP(J15,BASE!J$3:L$23,3,FALSE)*E15)</f>
        <v>3</v>
      </c>
      <c r="E134" s="13">
        <f>IF(A134="","",VLOOKUP(C134,BASE!A$3:B$19,2,FALSE))</f>
        <v>6.3</v>
      </c>
      <c r="F134" s="13">
        <f t="shared" si="31"/>
        <v>93.517359315734154</v>
      </c>
      <c r="G134" s="9" t="s">
        <v>78</v>
      </c>
      <c r="H134" s="12">
        <f>IF(A134="","",VLOOKUP(G134,BASE!A$82:B$85,2,FALSE))</f>
        <v>3</v>
      </c>
      <c r="I134" s="13">
        <f t="shared" si="30"/>
        <v>280.55207794720246</v>
      </c>
      <c r="J134" s="12" t="str">
        <f>IF(A109="","",INDEX(BASE!A$90:B$105,MATCH(I134,BASE!B$90:B$105,1)+1,1))</f>
        <v>Ø25 [mm]</v>
      </c>
      <c r="K134" s="12" t="str">
        <f>IF(A109="","",INDEX(BASE!C$90:D$102,MATCH(I134,BASE!D$90:D$102,1)+1,1))</f>
        <v>□60x60 [mm]</v>
      </c>
      <c r="L134" s="18">
        <f>IF(A134="","",F134/MIN(VLOOKUP(K134,BASE!C$90:D$105,2,FALSE),VLOOKUP(J134,BASE!A$90:B$105,2,FALSE)))</f>
        <v>0.29767499999999997</v>
      </c>
      <c r="M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s="3" customFormat="1" ht="13.2" x14ac:dyDescent="0.25">
      <c r="A135" s="12">
        <f t="shared" si="27"/>
        <v>14</v>
      </c>
      <c r="B135" s="12" t="str">
        <f t="shared" si="28"/>
        <v>C13</v>
      </c>
      <c r="C135" s="61">
        <f t="shared" si="28"/>
        <v>10</v>
      </c>
      <c r="D135" s="12">
        <f>IF(A135="","",VLOOKUP(J16,BASE!J$3:L$23,3,FALSE)*E16)</f>
        <v>3</v>
      </c>
      <c r="E135" s="13">
        <f>IF(A135="","",VLOOKUP(C135,BASE!A$3:B$19,2,FALSE))</f>
        <v>7.3</v>
      </c>
      <c r="F135" s="13">
        <f t="shared" si="31"/>
        <v>125.56160438235005</v>
      </c>
      <c r="G135" s="9" t="s">
        <v>78</v>
      </c>
      <c r="H135" s="12">
        <f>IF(A135="","",VLOOKUP(G135,BASE!A$82:B$85,2,FALSE))</f>
        <v>3</v>
      </c>
      <c r="I135" s="13">
        <f t="shared" si="30"/>
        <v>376.68481314705014</v>
      </c>
      <c r="J135" s="12" t="str">
        <f>IF(A110="","",INDEX(BASE!A$90:B$105,MATCH(I135,BASE!B$90:B$105,1)+1,1))</f>
        <v>Ø32 [mm]</v>
      </c>
      <c r="K135" s="12" t="str">
        <f>IF(A110="","",INDEX(BASE!C$90:D$102,MATCH(I135,BASE!D$90:D$102,1)+1,1))</f>
        <v>□60x60 [mm]</v>
      </c>
      <c r="L135" s="18">
        <f>IF(A135="","",F135/MIN(VLOOKUP(K135,BASE!C$90:D$105,2,FALSE),VLOOKUP(J135,BASE!A$90:B$105,2,FALSE)))</f>
        <v>0.21930041152263377</v>
      </c>
      <c r="M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s="3" customFormat="1" ht="13.2" x14ac:dyDescent="0.25">
      <c r="A136" s="12">
        <f t="shared" si="27"/>
        <v>15</v>
      </c>
      <c r="B136" s="12" t="str">
        <f t="shared" si="28"/>
        <v>C.FV</v>
      </c>
      <c r="C136" s="61">
        <f t="shared" si="28"/>
        <v>10</v>
      </c>
      <c r="D136" s="12">
        <f>IF(A136="","",VLOOKUP(J17,BASE!J$3:L$23,3,FALSE)*E17)</f>
        <v>3</v>
      </c>
      <c r="E136" s="13">
        <f>IF(A136="","",VLOOKUP(C136,BASE!A$3:B$19,2,FALSE))</f>
        <v>7.3</v>
      </c>
      <c r="F136" s="13">
        <f t="shared" si="31"/>
        <v>125.56160438235005</v>
      </c>
      <c r="G136" s="9" t="s">
        <v>78</v>
      </c>
      <c r="H136" s="12">
        <f>IF(A136="","",VLOOKUP(G136,BASE!A$82:B$85,2,FALSE))</f>
        <v>3</v>
      </c>
      <c r="I136" s="13">
        <f t="shared" si="30"/>
        <v>376.68481314705014</v>
      </c>
      <c r="J136" s="12" t="str">
        <f>IF(A111="","",INDEX(BASE!A$90:B$105,MATCH(I136,BASE!B$90:B$105,1)+1,1))</f>
        <v>Ø32 [mm]</v>
      </c>
      <c r="K136" s="12" t="str">
        <f>IF(A111="","",INDEX(BASE!C$90:D$102,MATCH(I136,BASE!D$90:D$102,1)+1,1))</f>
        <v>□60x60 [mm]</v>
      </c>
      <c r="L136" s="18">
        <f>IF(A136="","",F136/MIN(VLOOKUP(K136,BASE!C$90:D$105,2,FALSE),VLOOKUP(J136,BASE!A$90:B$105,2,FALSE)))</f>
        <v>0.21930041152263377</v>
      </c>
      <c r="M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s="3" customFormat="1" ht="13.2" x14ac:dyDescent="0.25">
      <c r="A137" s="12" t="str">
        <f t="shared" si="27"/>
        <v/>
      </c>
      <c r="B137" s="12" t="str">
        <f t="shared" si="28"/>
        <v/>
      </c>
      <c r="C137" s="61" t="str">
        <f t="shared" si="28"/>
        <v/>
      </c>
      <c r="D137" s="12" t="str">
        <f>IF(A137="","",VLOOKUP(J18,BASE!J$3:L$23,3,FALSE)*E18)</f>
        <v/>
      </c>
      <c r="E137" s="13" t="str">
        <f>IF(A137="","",VLOOKUP(C137,BASE!A$3:B$19,2,FALSE))</f>
        <v/>
      </c>
      <c r="F137" s="13" t="str">
        <f t="shared" si="31"/>
        <v/>
      </c>
      <c r="G137" s="9"/>
      <c r="H137" s="12" t="str">
        <f>IF(A137="","",VLOOKUP(G137,BASE!A$82:B$85,2,FALSE))</f>
        <v/>
      </c>
      <c r="I137" s="13" t="str">
        <f t="shared" si="30"/>
        <v/>
      </c>
      <c r="J137" s="12" t="str">
        <f>IF(A112="","",INDEX(BASE!A$90:B$105,MATCH(I137,BASE!B$90:B$105,1)+1,1))</f>
        <v/>
      </c>
      <c r="K137" s="12" t="str">
        <f>IF(A112="","",INDEX(BASE!C$90:D$102,MATCH(I137,BASE!D$90:D$102,1)+1,1))</f>
        <v/>
      </c>
      <c r="L137" s="18" t="str">
        <f>IF(A137="","",F137/MIN(VLOOKUP(K137,BASE!C$90:D$105,2,FALSE),VLOOKUP(J137,BASE!A$90:B$105,2,FALSE)))</f>
        <v/>
      </c>
      <c r="M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s="3" customFormat="1" ht="13.2" x14ac:dyDescent="0.25">
      <c r="A138" s="12" t="str">
        <f t="shared" si="27"/>
        <v/>
      </c>
      <c r="B138" s="12" t="str">
        <f t="shared" ref="B138:C141" si="32">IF(B19=0,"",B19)</f>
        <v/>
      </c>
      <c r="C138" s="61" t="str">
        <f t="shared" si="32"/>
        <v/>
      </c>
      <c r="D138" s="12" t="str">
        <f>IF(A138="","",VLOOKUP(J19,BASE!J$3:L$23,3,FALSE)*E19)</f>
        <v/>
      </c>
      <c r="E138" s="13" t="str">
        <f>IF(A138="","",VLOOKUP(C138,BASE!A$3:B$19,2,FALSE))</f>
        <v/>
      </c>
      <c r="F138" s="13" t="str">
        <f t="shared" si="31"/>
        <v/>
      </c>
      <c r="G138" s="9"/>
      <c r="H138" s="12" t="str">
        <f>IF(A138="","",VLOOKUP(G138,BASE!A$82:B$85,2,FALSE))</f>
        <v/>
      </c>
      <c r="I138" s="13" t="str">
        <f t="shared" si="30"/>
        <v/>
      </c>
      <c r="J138" s="12" t="str">
        <f>IF(A113="","",INDEX(BASE!A$90:B$105,MATCH(I138,BASE!B$90:B$105,1)+1,1))</f>
        <v/>
      </c>
      <c r="K138" s="12" t="str">
        <f>IF(A113="","",INDEX(BASE!C$90:D$102,MATCH(I138,BASE!D$90:D$102,1)+1,1))</f>
        <v/>
      </c>
      <c r="L138" s="18" t="str">
        <f>IF(A138="","",F138/MIN(VLOOKUP(K138,BASE!C$90:D$105,2,FALSE),VLOOKUP(J138,BASE!A$90:B$105,2,FALSE)))</f>
        <v/>
      </c>
      <c r="M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s="3" customFormat="1" ht="13.2" x14ac:dyDescent="0.25">
      <c r="A139" s="12" t="str">
        <f t="shared" si="27"/>
        <v/>
      </c>
      <c r="B139" s="12" t="str">
        <f t="shared" si="32"/>
        <v/>
      </c>
      <c r="C139" s="61" t="str">
        <f t="shared" si="32"/>
        <v/>
      </c>
      <c r="D139" s="12" t="str">
        <f>IF(A139="","",VLOOKUP(J20,BASE!J$3:L$23,3,FALSE)*E20)</f>
        <v/>
      </c>
      <c r="E139" s="13" t="str">
        <f>IF(A139="","",VLOOKUP(C139,BASE!A$3:B$19,2,FALSE))</f>
        <v/>
      </c>
      <c r="F139" s="13" t="str">
        <f t="shared" si="31"/>
        <v/>
      </c>
      <c r="G139" s="9"/>
      <c r="H139" s="12" t="str">
        <f>IF(A139="","",VLOOKUP(G139,BASE!A$82:B$85,2,FALSE))</f>
        <v/>
      </c>
      <c r="I139" s="13" t="str">
        <f t="shared" si="30"/>
        <v/>
      </c>
      <c r="J139" s="12" t="str">
        <f>IF(A114="","",INDEX(BASE!A$90:B$105,MATCH(I139,BASE!B$90:B$105,1)+1,1))</f>
        <v/>
      </c>
      <c r="K139" s="12" t="str">
        <f>IF(A114="","",INDEX(BASE!C$90:D$102,MATCH(I139,BASE!D$90:D$102,1)+1,1))</f>
        <v/>
      </c>
      <c r="L139" s="18" t="str">
        <f>IF(A139="","",F139/MIN(VLOOKUP(K139,BASE!C$90:D$105,2,FALSE),VLOOKUP(J139,BASE!A$90:B$105,2,FALSE)))</f>
        <v/>
      </c>
      <c r="M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s="3" customFormat="1" ht="13.2" x14ac:dyDescent="0.25">
      <c r="A140" s="12" t="str">
        <f t="shared" si="27"/>
        <v/>
      </c>
      <c r="B140" s="12" t="str">
        <f t="shared" si="32"/>
        <v/>
      </c>
      <c r="C140" s="61" t="str">
        <f t="shared" si="32"/>
        <v/>
      </c>
      <c r="D140" s="12" t="str">
        <f>IF(A140="","",VLOOKUP(J21,BASE!J$3:L$23,3,FALSE)*E21)</f>
        <v/>
      </c>
      <c r="E140" s="13" t="str">
        <f>IF(A140="","",VLOOKUP(C140,BASE!A$3:B$19,2,FALSE))</f>
        <v/>
      </c>
      <c r="F140" s="13" t="str">
        <f t="shared" si="31"/>
        <v/>
      </c>
      <c r="G140" s="9"/>
      <c r="H140" s="12" t="str">
        <f>IF(A140="","",VLOOKUP(G140,BASE!A$82:B$85,2,FALSE))</f>
        <v/>
      </c>
      <c r="I140" s="13" t="str">
        <f t="shared" si="30"/>
        <v/>
      </c>
      <c r="J140" s="12" t="str">
        <f>IF(A115="","",INDEX(BASE!A$90:B$105,MATCH(I140,BASE!B$90:B$105,1)+1,1))</f>
        <v/>
      </c>
      <c r="K140" s="12" t="str">
        <f>IF(A115="","",INDEX(BASE!C$90:D$102,MATCH(I140,BASE!D$90:D$102,1)+1,1))</f>
        <v/>
      </c>
      <c r="L140" s="18" t="str">
        <f>IF(A140="","",F140/MIN(VLOOKUP(K140,BASE!C$90:D$105,2,FALSE),VLOOKUP(J140,BASE!A$90:B$105,2,FALSE)))</f>
        <v/>
      </c>
      <c r="M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s="3" customFormat="1" ht="13.2" x14ac:dyDescent="0.25">
      <c r="A141" s="12" t="str">
        <f t="shared" si="27"/>
        <v/>
      </c>
      <c r="B141" s="12" t="str">
        <f t="shared" si="32"/>
        <v/>
      </c>
      <c r="C141" s="61" t="str">
        <f t="shared" si="32"/>
        <v/>
      </c>
      <c r="D141" s="12" t="str">
        <f>IF(A141="","",VLOOKUP(J22,BASE!J$3:L$23,3,FALSE)*E22)</f>
        <v/>
      </c>
      <c r="E141" s="13" t="str">
        <f>IF(A141="","",VLOOKUP(C141,BASE!A$3:B$19,2,FALSE))</f>
        <v/>
      </c>
      <c r="F141" s="13" t="str">
        <f t="shared" si="31"/>
        <v/>
      </c>
      <c r="G141" s="9"/>
      <c r="H141" s="12" t="str">
        <f>IF(A141="","",VLOOKUP(G141,BASE!A$82:B$85,2,FALSE))</f>
        <v/>
      </c>
      <c r="I141" s="13" t="str">
        <f t="shared" si="30"/>
        <v/>
      </c>
      <c r="J141" s="12" t="str">
        <f>IF(A116="","",INDEX(BASE!A$90:B$105,MATCH(I141,BASE!B$90:B$105,1)+1,1))</f>
        <v/>
      </c>
      <c r="K141" s="12" t="str">
        <f>IF(A116="","",INDEX(BASE!C$90:D$102,MATCH(I141,BASE!D$90:D$102,1)+1,1))</f>
        <v/>
      </c>
      <c r="L141" s="18" t="str">
        <f>IF(A141="","",F141/MIN(VLOOKUP(K141,BASE!C$90:D$105,2,FALSE),VLOOKUP(J141,BASE!A$90:B$105,2,FALSE)))</f>
        <v/>
      </c>
      <c r="M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s="22" customFormat="1" ht="12" x14ac:dyDescent="0.2">
      <c r="A142" s="129" t="s">
        <v>204</v>
      </c>
      <c r="B142" s="130" t="s">
        <v>121</v>
      </c>
      <c r="C142" s="130" t="s">
        <v>108</v>
      </c>
      <c r="D142" s="130" t="s">
        <v>154</v>
      </c>
      <c r="E142" s="130" t="s">
        <v>128</v>
      </c>
      <c r="F142" s="130" t="s">
        <v>112</v>
      </c>
      <c r="G142" s="130" t="s">
        <v>107</v>
      </c>
      <c r="H142" s="130" t="s">
        <v>109</v>
      </c>
      <c r="I142" s="130" t="s">
        <v>111</v>
      </c>
      <c r="J142" s="130" t="s">
        <v>203</v>
      </c>
      <c r="K142" s="130" t="s">
        <v>202</v>
      </c>
      <c r="L142" s="130" t="s">
        <v>201</v>
      </c>
      <c r="M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</row>
    <row r="143" spans="1:27" s="3" customFormat="1" ht="13.2" customHeight="1" x14ac:dyDescent="0.25">
      <c r="A143" s="136" t="s">
        <v>205</v>
      </c>
      <c r="B143" s="136"/>
      <c r="C143" s="136"/>
      <c r="D143" s="137"/>
      <c r="E143" s="137"/>
      <c r="F143" s="7"/>
      <c r="G143" s="9"/>
      <c r="H143" s="12" t="str">
        <f>IF(G143="","N.A",VLOOKUP(G143,BASE!A$82:B$85,2,FALSE))</f>
        <v>N.A</v>
      </c>
      <c r="I143" s="13" t="str">
        <f>IF(F143="","N.A",H143*F143)</f>
        <v>N.A</v>
      </c>
      <c r="J143" s="12" t="str">
        <f>IF(F143=0,"N.A",INDEX(BASE!A$90:B$105,MATCH(I143,BASE!B$90:B$105,1)+1,1))</f>
        <v>N.A</v>
      </c>
      <c r="K143" s="12" t="str">
        <f>IF(F143="","N.A",INDEX(BASE!C$90:D$99,MATCH(I143,BASE!D$90:D$99,1)+1,1))</f>
        <v>N.A</v>
      </c>
      <c r="L143" s="18" t="str">
        <f>IF(F143="","N.A",F143/MIN(VLOOKUP(K143,BASE!C$90:D$105,2,FALSE),VLOOKUP(J143,BASE!A$90:B$105,2,FALSE)))</f>
        <v>N.A</v>
      </c>
      <c r="M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s="3" customFormat="1" ht="13.2" x14ac:dyDescent="0.25">
      <c r="A144" s="136"/>
      <c r="B144" s="136"/>
      <c r="C144" s="136"/>
      <c r="D144" s="137"/>
      <c r="E144" s="137"/>
      <c r="F144" s="7"/>
      <c r="G144" s="9"/>
      <c r="H144" s="12" t="str">
        <f>IF(G144="","N.A",VLOOKUP(G144,BASE!A$82:B$85,2,FALSE))</f>
        <v>N.A</v>
      </c>
      <c r="I144" s="13" t="str">
        <f t="shared" ref="I144:I147" si="33">IF(F144="","N.A",H144*F144)</f>
        <v>N.A</v>
      </c>
      <c r="J144" s="12" t="str">
        <f>IF(F144=0,"N.A",INDEX(BASE!A$90:B$105,MATCH(I144,BASE!B$90:B$105,1)+1,1))</f>
        <v>N.A</v>
      </c>
      <c r="K144" s="12" t="str">
        <f>IF(F144="","N.A",INDEX(BASE!C$90:D$99,MATCH(I144,BASE!D$90:D$99,1)+1,1))</f>
        <v>N.A</v>
      </c>
      <c r="L144" s="18" t="str">
        <f>IF(F144="","N.A",F144/MIN(VLOOKUP(K144,BASE!C$90:D$105,2,FALSE),VLOOKUP(J144,BASE!A$90:B$105,2,FALSE)))</f>
        <v>N.A</v>
      </c>
      <c r="M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s="3" customFormat="1" ht="13.2" x14ac:dyDescent="0.25">
      <c r="A145" s="136"/>
      <c r="B145" s="136"/>
      <c r="C145" s="136"/>
      <c r="D145" s="137"/>
      <c r="E145" s="137"/>
      <c r="F145" s="7"/>
      <c r="G145" s="9"/>
      <c r="H145" s="12" t="str">
        <f>IF(G145="","N.A",VLOOKUP(G145,BASE!A$82:B$85,2,FALSE))</f>
        <v>N.A</v>
      </c>
      <c r="I145" s="13" t="str">
        <f t="shared" si="33"/>
        <v>N.A</v>
      </c>
      <c r="J145" s="12" t="str">
        <f>IF(F145=0,"N.A",INDEX(BASE!A$90:B$105,MATCH(I145,BASE!B$90:B$105,1)+1,1))</f>
        <v>N.A</v>
      </c>
      <c r="K145" s="12" t="str">
        <f>IF(F145="","N.A",INDEX(BASE!C$90:D$99,MATCH(I145,BASE!D$90:D$99,1)+1,1))</f>
        <v>N.A</v>
      </c>
      <c r="L145" s="18" t="str">
        <f>IF(F145="","N.A",F145/MIN(VLOOKUP(K145,BASE!C$90:D$105,2,FALSE),VLOOKUP(J145,BASE!A$90:B$105,2,FALSE)))</f>
        <v>N.A</v>
      </c>
      <c r="M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s="3" customFormat="1" ht="13.2" x14ac:dyDescent="0.25">
      <c r="A146" s="136"/>
      <c r="B146" s="136"/>
      <c r="C146" s="136"/>
      <c r="D146" s="137"/>
      <c r="E146" s="137"/>
      <c r="F146" s="7"/>
      <c r="G146" s="9"/>
      <c r="H146" s="12" t="str">
        <f>IF(G146="","N.A",VLOOKUP(G146,BASE!A$82:B$85,2,FALSE))</f>
        <v>N.A</v>
      </c>
      <c r="I146" s="13" t="str">
        <f t="shared" si="33"/>
        <v>N.A</v>
      </c>
      <c r="J146" s="12" t="str">
        <f>IF(F146=0,"N.A",INDEX(BASE!A$90:B$105,MATCH(I146,BASE!B$90:B$105,1)+1,1))</f>
        <v>N.A</v>
      </c>
      <c r="K146" s="12" t="str">
        <f>IF(F146="","N.A",INDEX(BASE!C$90:D$99,MATCH(I146,BASE!D$90:D$99,1)+1,1))</f>
        <v>N.A</v>
      </c>
      <c r="L146" s="18" t="str">
        <f>IF(F146="","N.A",F146/MIN(VLOOKUP(K146,BASE!C$90:D$105,2,FALSE),VLOOKUP(J146,BASE!A$90:B$105,2,FALSE)))</f>
        <v>N.A</v>
      </c>
      <c r="M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s="3" customFormat="1" ht="13.2" x14ac:dyDescent="0.25">
      <c r="A147" s="136"/>
      <c r="B147" s="136"/>
      <c r="C147" s="136"/>
      <c r="D147" s="137"/>
      <c r="E147" s="137"/>
      <c r="F147" s="7"/>
      <c r="G147" s="9"/>
      <c r="H147" s="12" t="str">
        <f>IF(G147="","N.A",VLOOKUP(G147,BASE!A$82:B$85,2,FALSE))</f>
        <v>N.A</v>
      </c>
      <c r="I147" s="13" t="str">
        <f t="shared" si="33"/>
        <v>N.A</v>
      </c>
      <c r="J147" s="12" t="str">
        <f>IF(F147=0,"N.A",INDEX(BASE!A$90:B$105,MATCH(I147,BASE!B$90:B$105,1)+1,1))</f>
        <v>N.A</v>
      </c>
      <c r="K147" s="12" t="str">
        <f>IF(F147="","N.A",INDEX(BASE!C$90:D$99,MATCH(I147,BASE!D$90:D$99,1)+1,1))</f>
        <v>N.A</v>
      </c>
      <c r="L147" s="18" t="str">
        <f>IF(F147="","N.A",F147/MIN(VLOOKUP(K147,BASE!C$90:D$105,2,FALSE),VLOOKUP(J147,BASE!A$90:B$105,2,FALSE)))</f>
        <v>N.A</v>
      </c>
      <c r="M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s="3" customFormat="1" ht="13.2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s="3" customFormat="1" ht="13.2" x14ac:dyDescent="0.25">
      <c r="A149" s="132" t="s">
        <v>185</v>
      </c>
      <c r="B149" s="132"/>
      <c r="C149" s="132"/>
      <c r="D149" s="132"/>
      <c r="E149" s="132"/>
      <c r="F149" s="132"/>
      <c r="G149" s="132"/>
      <c r="H149" s="132"/>
      <c r="I149" s="132"/>
      <c r="J149" s="132"/>
      <c r="K149" s="132"/>
      <c r="L149" s="13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s="3" customFormat="1" ht="13.2" customHeight="1" x14ac:dyDescent="0.25">
      <c r="A150" s="133" t="s">
        <v>228</v>
      </c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s="3" customFormat="1" ht="13.2" x14ac:dyDescent="0.25">
      <c r="A151" s="133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s="3" customFormat="1" ht="13.2" x14ac:dyDescent="0.25">
      <c r="A152" s="133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s="3" customFormat="1" ht="13.2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s="3" customFormat="1" ht="13.2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s="3" customFormat="1" ht="13.2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s="3" customFormat="1" ht="13.2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s="3" customFormat="1" ht="13.2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s="3" customFormat="1" ht="13.2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s="3" customFormat="1" ht="13.2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s="3" customFormat="1" ht="13.2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s="3" customFormat="1" ht="13.2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s="3" customFormat="1" ht="13.2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s="3" customFormat="1" ht="13.2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s="3" customFormat="1" ht="13.2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s="3" customFormat="1" ht="13.2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s="3" customFormat="1" ht="13.2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s="3" customFormat="1" ht="13.2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s="3" customFormat="1" ht="13.2" x14ac:dyDescent="0.25">
      <c r="A168" s="124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s="3" customFormat="1" ht="13.2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s="3" customFormat="1" ht="13.2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s="3" customFormat="1" ht="13.2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s="3" customFormat="1" ht="13.2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s="3" customFormat="1" ht="13.2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s="3" customFormat="1" ht="13.2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s="3" customFormat="1" ht="13.2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s="3" customFormat="1" ht="13.2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s="3" customFormat="1" ht="13.2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s="3" customFormat="1" ht="13.2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s="3" customFormat="1" ht="13.2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s="3" customFormat="1" ht="13.2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s="3" customFormat="1" ht="13.2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s="3" customFormat="1" ht="13.2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s="3" customFormat="1" ht="13.2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s="3" customFormat="1" ht="13.2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s="3" customFormat="1" ht="13.2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s="3" customFormat="1" ht="13.2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s="3" customFormat="1" ht="13.2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s="3" customFormat="1" ht="13.2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s="3" customFormat="1" ht="13.2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s="3" customFormat="1" ht="13.2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s="3" customFormat="1" ht="13.2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s="3" customFormat="1" ht="13.2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s="3" customFormat="1" ht="13.2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s="3" customFormat="1" ht="13.2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s="3" customFormat="1" ht="13.2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s="3" customFormat="1" ht="13.2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s="3" customFormat="1" ht="13.2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s="3" customFormat="1" ht="13.2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s="3" customFormat="1" ht="13.2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s="3" customFormat="1" ht="13.2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s="3" customFormat="1" ht="13.2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s="3" customFormat="1" ht="13.2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s="3" customFormat="1" ht="13.2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s="3" customFormat="1" ht="13.2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s="3" customFormat="1" ht="13.2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s="3" customFormat="1" ht="13.2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s="3" customFormat="1" ht="13.2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s="3" customFormat="1" ht="13.2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s="3" customFormat="1" ht="13.2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s="3" customFormat="1" ht="13.2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s="3" customFormat="1" ht="13.2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s="3" customFormat="1" ht="13.2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s="3" customFormat="1" ht="13.2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s="3" customFormat="1" ht="13.2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s="3" customFormat="1" ht="13.2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s="3" customFormat="1" ht="13.2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s="3" customFormat="1" ht="13.2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s="3" customFormat="1" ht="13.2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s="3" customFormat="1" ht="13.2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s="3" customFormat="1" ht="13.2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s="3" customFormat="1" ht="13.2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s="3" customFormat="1" ht="13.2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s="3" customFormat="1" ht="13.2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s="3" customFormat="1" ht="13.2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s="3" customFormat="1" ht="13.2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s="3" customFormat="1" ht="13.2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s="3" customFormat="1" ht="13.2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s="3" customFormat="1" ht="13.2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s="3" customFormat="1" ht="13.2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s="3" customFormat="1" ht="13.2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s="3" customFormat="1" ht="13.2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s="3" customFormat="1" ht="13.2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s="3" customFormat="1" ht="13.2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s="3" customFormat="1" ht="13.2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s="3" customFormat="1" ht="13.2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s="3" customFormat="1" ht="13.2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s="3" customFormat="1" ht="13.2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s="3" customFormat="1" ht="13.2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s="3" customFormat="1" ht="13.2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s="3" customFormat="1" ht="13.2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s="3" customFormat="1" ht="13.2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s="3" customFormat="1" ht="13.2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s="3" customFormat="1" ht="13.2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s="3" customFormat="1" ht="13.2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s="3" customFormat="1" ht="13.2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s="3" customFormat="1" ht="13.2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s="3" customFormat="1" ht="13.2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s="3" customFormat="1" ht="13.2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s="3" customFormat="1" ht="13.2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s="3" customFormat="1" ht="13.2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s="3" customFormat="1" ht="13.2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s="3" customFormat="1" ht="13.2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s="3" customFormat="1" ht="13.2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s="3" customFormat="1" ht="13.2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s="3" customFormat="1" ht="13.2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s="3" customFormat="1" ht="13.2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s="1" customForma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</row>
    <row r="258" spans="1:27" s="1" customForma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</row>
    <row r="259" spans="1:27" s="1" customForma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</row>
    <row r="260" spans="1:27" s="1" customForma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</row>
    <row r="261" spans="1:27" s="1" customForma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</row>
    <row r="262" spans="1:27" s="1" customForma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</row>
    <row r="263" spans="1:27" s="1" customForma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</row>
    <row r="264" spans="1:27" s="1" customForma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</row>
    <row r="265" spans="1:27" s="1" customForma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</row>
    <row r="266" spans="1:27" s="1" customForma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</row>
    <row r="267" spans="1:27" s="1" customForma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</row>
    <row r="268" spans="1:27" s="1" customForma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</row>
    <row r="269" spans="1:27" s="1" customForma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</row>
    <row r="270" spans="1:27" s="1" customForma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</row>
    <row r="271" spans="1:27" s="1" customForma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</row>
    <row r="272" spans="1:27" s="1" customForma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</row>
    <row r="273" spans="1:27" s="1" customForma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</row>
    <row r="274" spans="1:27" s="1" customForma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</row>
    <row r="275" spans="1:27" s="1" customForma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</row>
    <row r="276" spans="1:27" s="1" customForma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</row>
    <row r="277" spans="1:27" s="1" customForma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</row>
    <row r="278" spans="1:27" s="1" customForma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</row>
    <row r="279" spans="1:27" s="1" customForma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</row>
    <row r="280" spans="1:27" s="1" customForma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</row>
    <row r="281" spans="1:27" s="1" customForma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</row>
    <row r="282" spans="1:27" s="1" customForma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</row>
    <row r="283" spans="1:27" s="1" customForma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</row>
    <row r="284" spans="1:27" s="1" customForma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</row>
    <row r="285" spans="1:27" s="1" customForma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</row>
    <row r="286" spans="1:27" s="1" customForma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</row>
    <row r="287" spans="1:27" s="1" customForma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</row>
    <row r="288" spans="1:27" s="1" customForma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</row>
    <row r="289" spans="1:27" s="1" customForma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</row>
    <row r="290" spans="1:27" s="1" customForma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</row>
    <row r="291" spans="1:27" s="1" customForma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</row>
    <row r="292" spans="1:27" s="1" customForma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</row>
    <row r="293" spans="1:27" s="1" customForma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</row>
    <row r="294" spans="1:27" s="1" customForma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</row>
    <row r="295" spans="1:27" s="1" customForma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</row>
    <row r="296" spans="1:27" s="1" customForma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</row>
    <row r="297" spans="1:27" s="1" customForma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</row>
    <row r="298" spans="1:27" s="1" customForma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</row>
    <row r="299" spans="1:27" s="1" customForma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</row>
    <row r="300" spans="1:27" s="1" customForma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</row>
    <row r="301" spans="1:27" s="1" customForma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</row>
    <row r="302" spans="1:27" s="1" customForma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</row>
    <row r="303" spans="1:27" s="1" customForma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</row>
    <row r="304" spans="1:27" s="1" customForma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</row>
    <row r="305" spans="1:27" s="1" customForma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</row>
    <row r="306" spans="1:27" s="1" customForma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</row>
    <row r="307" spans="1:27" s="1" customForma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</row>
    <row r="308" spans="1:27" s="1" customForma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</row>
    <row r="309" spans="1:27" s="1" customForma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</row>
    <row r="310" spans="1:27" s="1" customForma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</row>
    <row r="311" spans="1:27" s="1" customForma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</row>
    <row r="312" spans="1:27" s="1" customForma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</row>
    <row r="313" spans="1:27" s="1" customForma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</row>
    <row r="314" spans="1:27" s="1" customForma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</row>
    <row r="315" spans="1:27" s="1" customForma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</row>
    <row r="316" spans="1:27" s="1" customForma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</row>
    <row r="317" spans="1:27" s="1" customForma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</row>
    <row r="318" spans="1:27" s="1" customForma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</row>
    <row r="319" spans="1:27" s="1" customForma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</row>
    <row r="320" spans="1:27" s="1" customForma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</row>
    <row r="321" spans="1:27" s="1" customForma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</row>
    <row r="322" spans="1:27" s="1" customForma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</row>
    <row r="323" spans="1:27" s="1" customForma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</row>
    <row r="324" spans="1:27" s="1" customForma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</row>
    <row r="325" spans="1:27" s="1" customForma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</row>
    <row r="326" spans="1:27" s="1" customForma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</row>
    <row r="327" spans="1:27" s="1" customForma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</row>
    <row r="328" spans="1:27" s="1" customForma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</row>
    <row r="329" spans="1:27" s="1" customForma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</row>
    <row r="330" spans="1:27" s="1" customForma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</row>
    <row r="331" spans="1:27" s="1" customForma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</row>
    <row r="332" spans="1:27" s="1" customForma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</row>
    <row r="333" spans="1:27" s="1" customForma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</row>
    <row r="334" spans="1:27" s="1" customForma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</row>
    <row r="335" spans="1:27" s="1" customForma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</row>
    <row r="336" spans="1:27" s="1" customForma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</row>
    <row r="337" spans="1:27" s="1" customForma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</row>
    <row r="338" spans="1:27" s="1" customForma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</row>
    <row r="339" spans="1:27" s="1" customForma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</row>
    <row r="340" spans="1:27" s="1" customForma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</row>
    <row r="341" spans="1:27" s="1" customForma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</row>
    <row r="342" spans="1:27" s="1" customForma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</row>
    <row r="343" spans="1:27" s="1" customForma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</row>
    <row r="344" spans="1:27" s="1" customForma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</row>
    <row r="345" spans="1:27" s="1" customForma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</row>
    <row r="346" spans="1:27" s="1" customForma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</row>
    <row r="347" spans="1:27" s="1" customForma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</row>
    <row r="348" spans="1:27" s="1" customForma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</row>
    <row r="349" spans="1:27" s="1" customForma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</row>
    <row r="350" spans="1:27" s="1" customForma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</row>
    <row r="351" spans="1:27" s="1" customForma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</row>
    <row r="352" spans="1:27" s="1" customForma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</row>
    <row r="353" spans="1:27" s="1" customForma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</row>
    <row r="354" spans="1:27" s="1" customForma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</row>
    <row r="355" spans="1:27" s="1" customForma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</row>
    <row r="356" spans="1:27" s="1" customForma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</row>
    <row r="357" spans="1:27" s="1" customForma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</row>
    <row r="358" spans="1:27" s="1" customForma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</row>
    <row r="359" spans="1:27" s="1" customForma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</row>
    <row r="360" spans="1:27" s="1" customForma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</row>
    <row r="361" spans="1:27" s="1" customForma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</row>
    <row r="362" spans="1:27" s="1" customForma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</row>
    <row r="363" spans="1:27" s="1" customForma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</row>
    <row r="364" spans="1:27" s="1" customForma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</row>
    <row r="365" spans="1:27" s="1" customForma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</row>
    <row r="366" spans="1:27" s="1" customForma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</row>
    <row r="367" spans="1:27" s="1" customForma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</row>
    <row r="368" spans="1:27" s="1" customForma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</row>
    <row r="369" spans="1:27" s="1" customForma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</row>
    <row r="370" spans="1:27" s="1" customForma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</row>
    <row r="371" spans="1:27" s="1" customForma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</row>
    <row r="372" spans="1:27" s="1" customForma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</row>
    <row r="373" spans="1:27" s="1" customForma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</row>
    <row r="374" spans="1:27" s="1" customForma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</row>
    <row r="375" spans="1:27" s="1" customForma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</row>
    <row r="376" spans="1:27" s="1" customForma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</row>
    <row r="377" spans="1:27" s="1" customForma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</row>
    <row r="378" spans="1:27" s="1" customForma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</row>
    <row r="379" spans="1:27" s="1" customForma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</row>
    <row r="380" spans="1:27" s="1" customForma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</row>
    <row r="381" spans="1:27" s="1" customForma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</row>
    <row r="382" spans="1:27" s="1" customForma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</row>
    <row r="383" spans="1:27" s="1" customForma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</row>
    <row r="384" spans="1:27" s="1" customForma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</row>
    <row r="385" spans="1:27" s="1" customForma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</row>
    <row r="386" spans="1:27" s="1" customForma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</row>
    <row r="387" spans="1:27" s="1" customForma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</row>
    <row r="388" spans="1:27" s="1" customForma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</row>
    <row r="389" spans="1:27" s="1" customForma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</row>
    <row r="390" spans="1:27" s="1" customForma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</row>
    <row r="391" spans="1:27" s="1" customForma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</row>
    <row r="392" spans="1:27" s="1" customForma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</row>
    <row r="393" spans="1:27" s="1" customForma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</row>
    <row r="394" spans="1:27" s="1" customForma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</row>
    <row r="395" spans="1:27" s="1" customForma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</row>
    <row r="396" spans="1:27" s="1" customForma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</row>
    <row r="397" spans="1:27" s="1" customForma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</row>
    <row r="398" spans="1:27" s="1" customForma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</row>
    <row r="399" spans="1:27" s="1" customForma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</row>
    <row r="400" spans="1:27" s="1" customForma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</row>
    <row r="401" spans="1:27" s="1" customForma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</row>
    <row r="402" spans="1:27" s="1" customForma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</row>
    <row r="403" spans="1:27" s="1" customForma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</row>
    <row r="404" spans="1:27" s="1" customForma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</row>
    <row r="405" spans="1:27" s="1" customForma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</row>
    <row r="406" spans="1:27" s="1" customForma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</row>
    <row r="407" spans="1:27" s="1" customForma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</row>
    <row r="408" spans="1:27" s="1" customForma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</row>
    <row r="409" spans="1:27" s="1" customForma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</row>
    <row r="410" spans="1:27" s="1" customForma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</row>
    <row r="1000" spans="1:1" x14ac:dyDescent="0.3">
      <c r="A1000" s="125" t="s">
        <v>189</v>
      </c>
    </row>
  </sheetData>
  <mergeCells count="17">
    <mergeCell ref="A71:L71"/>
    <mergeCell ref="A1:L1"/>
    <mergeCell ref="F23:G23"/>
    <mergeCell ref="A25:L25"/>
    <mergeCell ref="A47:L47"/>
    <mergeCell ref="C69:I69"/>
    <mergeCell ref="A149:L149"/>
    <mergeCell ref="A150:L152"/>
    <mergeCell ref="A95:L95"/>
    <mergeCell ref="B118:L118"/>
    <mergeCell ref="A120:L120"/>
    <mergeCell ref="A143:C147"/>
    <mergeCell ref="D143:E143"/>
    <mergeCell ref="D144:E144"/>
    <mergeCell ref="D145:E145"/>
    <mergeCell ref="D146:E146"/>
    <mergeCell ref="D147:E147"/>
  </mergeCells>
  <phoneticPr fontId="3" type="noConversion"/>
  <conditionalFormatting sqref="J97:J116">
    <cfRule type="expression" dxfId="6" priority="11">
      <formula>J97&gt;K49</formula>
    </cfRule>
  </conditionalFormatting>
  <conditionalFormatting sqref="L27:L46">
    <cfRule type="containsText" dxfId="5" priority="1" operator="containsText" text="NO CUMPLE">
      <formula>NOT(ISERROR(SEARCH("NO CUMPLE",L27)))</formula>
    </cfRule>
    <cfRule type="containsText" dxfId="4" priority="2" operator="containsText" text="CORRECTO">
      <formula>NOT(ISERROR(SEARCH("CORRECTO",L27)))</formula>
    </cfRule>
  </conditionalFormatting>
  <conditionalFormatting sqref="L73:L92">
    <cfRule type="containsText" dxfId="3" priority="4" operator="containsText" text="NO CUMPLE">
      <formula>NOT(ISERROR(SEARCH("NO CUMPLE",L73)))</formula>
    </cfRule>
    <cfRule type="containsText" dxfId="2" priority="6" operator="containsText" text="CORRECTO">
      <formula>NOT(ISERROR(SEARCH("CORRECTO",L73)))</formula>
    </cfRule>
  </conditionalFormatting>
  <conditionalFormatting sqref="L97:L116">
    <cfRule type="containsText" dxfId="1" priority="3" operator="containsText" text="NO CUMPLE">
      <formula>NOT(ISERROR(SEARCH("NO CUMPLE",L97)))</formula>
    </cfRule>
    <cfRule type="containsText" dxfId="0" priority="5" operator="containsText" text="CORRECTO">
      <formula>NOT(ISERROR(SEARCH("CORRECTO",L97)))</formula>
    </cfRule>
  </conditionalFormatting>
  <pageMargins left="0.7" right="0.7" top="0.75" bottom="0.75" header="0.3" footer="0.3"/>
  <pageSetup paperSize="9" scale="71" fitToHeight="0" orientation="landscape" r:id="rId1"/>
  <headerFooter>
    <oddHeader>&amp;L&amp;"-,Negrita"&amp;20ANEJO DE CÁLCULO&amp;R&amp;"-,Negrita"&amp;20CIRCUITOS B.T</oddHeader>
    <oddFooter>&amp;L&amp;"-,Negrita"&amp;20&amp;D&amp;R&amp;"-,Negrita"&amp;20&amp;P / &amp;N</oddFooter>
  </headerFooter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E34BFD54-9464-4BC2-A1F7-718070060EB8}">
          <x14:formula1>
            <xm:f>BASE!$H$28:$H$48</xm:f>
          </x14:formula1>
          <xm:sqref>I27:I46</xm:sqref>
        </x14:dataValidation>
        <x14:dataValidation type="list" allowBlank="1" showInputMessage="1" showErrorMessage="1" xr:uid="{F1C0CCBC-3CFB-4F8E-A449-E49A7BDE7305}">
          <x14:formula1>
            <xm:f>BASE!$A$28:$A$37</xm:f>
          </x14:formula1>
          <xm:sqref>D27:D46</xm:sqref>
        </x14:dataValidation>
        <x14:dataValidation type="list" allowBlank="1" showInputMessage="1" showErrorMessage="1" xr:uid="{AC59211F-CE29-4021-9724-081890243A07}">
          <x14:formula1>
            <xm:f>BASE!$K$28:$K$30</xm:f>
          </x14:formula1>
          <xm:sqref>J27:J46</xm:sqref>
        </x14:dataValidation>
        <x14:dataValidation type="list" allowBlank="1" showInputMessage="1" showErrorMessage="1" xr:uid="{A1EF9843-5477-4A63-8F32-9B157EAB6C46}">
          <x14:formula1>
            <xm:f>BASE!$F$28:$F$29</xm:f>
          </x14:formula1>
          <xm:sqref>H27:H46</xm:sqref>
        </x14:dataValidation>
        <x14:dataValidation type="list" allowBlank="1" showInputMessage="1" showErrorMessage="1" xr:uid="{D56C11EC-AA03-4E7A-A3E8-C3038A01B53F}">
          <x14:formula1>
            <xm:f>BASE!$E$28:$E$48</xm:f>
          </x14:formula1>
          <xm:sqref>G27:G46</xm:sqref>
        </x14:dataValidation>
        <x14:dataValidation type="list" allowBlank="1" showInputMessage="1" showErrorMessage="1" xr:uid="{121D882C-52EC-4628-B3F6-74F43FDD49FC}">
          <x14:formula1>
            <xm:f>BASE!$C$28:$C$35</xm:f>
          </x14:formula1>
          <xm:sqref>F27:F46</xm:sqref>
        </x14:dataValidation>
        <x14:dataValidation type="list" allowBlank="1" showInputMessage="1" showErrorMessage="1" xr:uid="{E4982CDF-53F4-46BB-B4F5-3D534DCD1ABD}">
          <x14:formula1>
            <xm:f>BASE!$B$28:$B$48</xm:f>
          </x14:formula1>
          <xm:sqref>E27:E46</xm:sqref>
        </x14:dataValidation>
        <x14:dataValidation type="list" allowBlank="1" showInputMessage="1" showErrorMessage="1" xr:uid="{48C185E3-6C3C-4BDF-A508-A148F75C7D97}">
          <x14:formula1>
            <xm:f>BASE!$J$3:$J$6</xm:f>
          </x14:formula1>
          <xm:sqref>J3:J22</xm:sqref>
        </x14:dataValidation>
        <x14:dataValidation type="list" allowBlank="1" showInputMessage="1" showErrorMessage="1" xr:uid="{EC555721-7B91-4BBD-92BB-D46F9E252E37}">
          <x14:formula1>
            <xm:f>BASE!$F$3:$F$5</xm:f>
          </x14:formula1>
          <xm:sqref>G3:G22</xm:sqref>
        </x14:dataValidation>
        <x14:dataValidation type="list" allowBlank="1" showInputMessage="1" showErrorMessage="1" xr:uid="{C441A2A1-5C27-4237-A3C9-9A30E805C219}">
          <x14:formula1>
            <xm:f>BASE!$D$3:$D$5</xm:f>
          </x14:formula1>
          <xm:sqref>F3:F22</xm:sqref>
        </x14:dataValidation>
        <x14:dataValidation type="list" allowBlank="1" showInputMessage="1" showErrorMessage="1" xr:uid="{5B154FEA-E73F-42DC-92E6-1290CBF29443}">
          <x14:formula1>
            <xm:f>BASE!$C$3:$C$23</xm:f>
          </x14:formula1>
          <xm:sqref>E3:E22</xm:sqref>
        </x14:dataValidation>
        <x14:dataValidation type="list" allowBlank="1" showInputMessage="1" showErrorMessage="1" xr:uid="{6EE6A731-11A9-48A2-BCBE-32BB339A653E}">
          <x14:formula1>
            <xm:f>BASE!$A$3:$A$19</xm:f>
          </x14:formula1>
          <xm:sqref>C3:C22</xm:sqref>
        </x14:dataValidation>
        <x14:dataValidation type="list" allowBlank="1" showInputMessage="1" showErrorMessage="1" xr:uid="{34143C62-7E31-4CD7-8B5B-9AD98E16A5D3}">
          <x14:formula1>
            <xm:f>BASE!$A$82:$A$85</xm:f>
          </x14:formula1>
          <xm:sqref>G122:G141 G143:G147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C8056-AD4E-4E82-B956-3F227B2BFA71}">
  <sheetPr>
    <tabColor theme="4" tint="0.59999389629810485"/>
  </sheetPr>
  <dimension ref="A1:BU1000"/>
  <sheetViews>
    <sheetView topLeftCell="A21" zoomScale="90" zoomScaleNormal="90" workbookViewId="0">
      <selection activeCell="H42" sqref="H42"/>
    </sheetView>
  </sheetViews>
  <sheetFormatPr baseColWidth="10" defaultColWidth="8.88671875" defaultRowHeight="14.4" x14ac:dyDescent="0.3"/>
  <cols>
    <col min="1" max="37" width="18.77734375" style="11" customWidth="1"/>
    <col min="38" max="82" width="18.77734375" customWidth="1"/>
  </cols>
  <sheetData>
    <row r="1" spans="1:38" s="1" customFormat="1" ht="15" thickBot="1" x14ac:dyDescent="0.35">
      <c r="A1" s="139" t="s">
        <v>62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1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spans="1:38" s="1" customFormat="1" ht="26.4" x14ac:dyDescent="0.3">
      <c r="A2" s="43" t="s">
        <v>59</v>
      </c>
      <c r="B2" s="44" t="s">
        <v>178</v>
      </c>
      <c r="C2" s="45" t="s">
        <v>7</v>
      </c>
      <c r="D2" s="43" t="s">
        <v>3</v>
      </c>
      <c r="E2" s="44" t="s">
        <v>73</v>
      </c>
      <c r="F2" s="43" t="s">
        <v>2</v>
      </c>
      <c r="G2" s="44" t="s">
        <v>63</v>
      </c>
      <c r="H2" s="123" t="s">
        <v>179</v>
      </c>
      <c r="I2" s="48" t="s">
        <v>72</v>
      </c>
      <c r="J2" s="43" t="s">
        <v>147</v>
      </c>
      <c r="K2" s="25" t="s">
        <v>150</v>
      </c>
      <c r="L2" s="44" t="s">
        <v>149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 spans="1:38" s="1" customFormat="1" x14ac:dyDescent="0.3">
      <c r="A3" s="29">
        <v>1.5</v>
      </c>
      <c r="B3" s="30">
        <v>4.8</v>
      </c>
      <c r="C3" s="34">
        <v>1</v>
      </c>
      <c r="D3" s="36" t="s">
        <v>15</v>
      </c>
      <c r="E3" s="30">
        <v>54.7</v>
      </c>
      <c r="F3" s="36" t="s">
        <v>13</v>
      </c>
      <c r="G3" s="37">
        <v>90</v>
      </c>
      <c r="H3" s="95">
        <v>3200</v>
      </c>
      <c r="I3" s="49">
        <v>150</v>
      </c>
      <c r="J3" s="52" t="s">
        <v>148</v>
      </c>
      <c r="K3" s="46">
        <v>1</v>
      </c>
      <c r="L3" s="53">
        <v>5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</row>
    <row r="4" spans="1:38" s="1" customFormat="1" x14ac:dyDescent="0.3">
      <c r="A4" s="29">
        <v>2.5</v>
      </c>
      <c r="B4" s="30">
        <v>5.15</v>
      </c>
      <c r="C4" s="34">
        <v>2</v>
      </c>
      <c r="D4" s="36" t="s">
        <v>16</v>
      </c>
      <c r="E4" s="30">
        <v>33.01</v>
      </c>
      <c r="F4" s="36" t="s">
        <v>14</v>
      </c>
      <c r="G4" s="37">
        <v>70</v>
      </c>
      <c r="H4" s="95">
        <v>2000</v>
      </c>
      <c r="I4" s="49">
        <v>100</v>
      </c>
      <c r="J4" s="52" t="s">
        <v>152</v>
      </c>
      <c r="K4" s="46">
        <v>2</v>
      </c>
      <c r="L4" s="53">
        <v>3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</row>
    <row r="5" spans="1:38" s="1" customFormat="1" x14ac:dyDescent="0.3">
      <c r="A5" s="29">
        <v>4</v>
      </c>
      <c r="B5" s="30">
        <v>5.6</v>
      </c>
      <c r="C5" s="34">
        <v>3</v>
      </c>
      <c r="D5" s="36"/>
      <c r="E5" s="40"/>
      <c r="F5" s="36"/>
      <c r="G5" s="37"/>
      <c r="H5" s="95">
        <v>1600</v>
      </c>
      <c r="I5" s="49">
        <v>70</v>
      </c>
      <c r="J5" s="52"/>
      <c r="K5" s="46"/>
      <c r="L5" s="5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</row>
    <row r="6" spans="1:38" s="1" customFormat="1" x14ac:dyDescent="0.3">
      <c r="A6" s="29">
        <v>6</v>
      </c>
      <c r="B6" s="30">
        <v>6.3</v>
      </c>
      <c r="C6" s="34">
        <v>4</v>
      </c>
      <c r="D6" s="36"/>
      <c r="E6" s="40"/>
      <c r="F6" s="36"/>
      <c r="G6" s="37"/>
      <c r="H6" s="95">
        <v>1000</v>
      </c>
      <c r="I6" s="49">
        <v>50</v>
      </c>
      <c r="J6" s="52"/>
      <c r="K6" s="46"/>
      <c r="L6" s="5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</row>
    <row r="7" spans="1:38" s="1" customFormat="1" x14ac:dyDescent="0.3">
      <c r="A7" s="29">
        <v>10</v>
      </c>
      <c r="B7" s="30">
        <v>7.3</v>
      </c>
      <c r="C7" s="34">
        <v>5</v>
      </c>
      <c r="D7" s="36"/>
      <c r="E7" s="40"/>
      <c r="F7" s="36"/>
      <c r="G7" s="37"/>
      <c r="H7" s="95">
        <v>800</v>
      </c>
      <c r="I7" s="49">
        <v>36</v>
      </c>
      <c r="J7" s="52"/>
      <c r="K7" s="46"/>
      <c r="L7" s="5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</row>
    <row r="8" spans="1:38" s="1" customFormat="1" x14ac:dyDescent="0.3">
      <c r="A8" s="29">
        <v>16</v>
      </c>
      <c r="B8" s="30">
        <v>8.4</v>
      </c>
      <c r="C8" s="34">
        <v>6</v>
      </c>
      <c r="D8" s="36"/>
      <c r="E8" s="40"/>
      <c r="F8" s="36"/>
      <c r="G8" s="37"/>
      <c r="H8" s="95">
        <v>630</v>
      </c>
      <c r="I8" s="49">
        <v>35</v>
      </c>
      <c r="J8" s="52"/>
      <c r="K8" s="46"/>
      <c r="L8" s="5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</row>
    <row r="9" spans="1:38" s="1" customFormat="1" x14ac:dyDescent="0.3">
      <c r="A9" s="29">
        <v>25</v>
      </c>
      <c r="B9" s="30">
        <v>10</v>
      </c>
      <c r="C9" s="34">
        <v>7</v>
      </c>
      <c r="D9" s="36"/>
      <c r="E9" s="40"/>
      <c r="F9" s="36"/>
      <c r="G9" s="37"/>
      <c r="H9" s="95">
        <v>400</v>
      </c>
      <c r="I9" s="49">
        <v>25</v>
      </c>
      <c r="J9" s="52"/>
      <c r="K9" s="46"/>
      <c r="L9" s="5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</row>
    <row r="10" spans="1:38" s="1" customFormat="1" x14ac:dyDescent="0.3">
      <c r="A10" s="29">
        <v>35</v>
      </c>
      <c r="B10" s="30">
        <v>11.1</v>
      </c>
      <c r="C10" s="34">
        <v>8</v>
      </c>
      <c r="D10" s="36"/>
      <c r="E10" s="40"/>
      <c r="F10" s="36"/>
      <c r="G10" s="37"/>
      <c r="H10" s="95">
        <v>320</v>
      </c>
      <c r="I10" s="49">
        <v>20</v>
      </c>
      <c r="J10" s="52"/>
      <c r="K10" s="46"/>
      <c r="L10" s="5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</row>
    <row r="11" spans="1:38" s="1" customFormat="1" x14ac:dyDescent="0.3">
      <c r="A11" s="29">
        <v>50</v>
      </c>
      <c r="B11" s="30">
        <v>12.9</v>
      </c>
      <c r="C11" s="34">
        <v>9</v>
      </c>
      <c r="D11" s="36"/>
      <c r="E11" s="40"/>
      <c r="F11" s="36"/>
      <c r="G11" s="37"/>
      <c r="H11" s="95">
        <v>250</v>
      </c>
      <c r="I11" s="49">
        <v>15</v>
      </c>
      <c r="J11" s="52"/>
      <c r="K11" s="46"/>
      <c r="L11" s="5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</row>
    <row r="12" spans="1:38" s="1" customFormat="1" x14ac:dyDescent="0.3">
      <c r="A12" s="29">
        <v>70</v>
      </c>
      <c r="B12" s="30">
        <v>14.7</v>
      </c>
      <c r="C12" s="34">
        <v>10</v>
      </c>
      <c r="D12" s="36"/>
      <c r="E12" s="40"/>
      <c r="F12" s="36"/>
      <c r="G12" s="37"/>
      <c r="H12" s="95">
        <v>200</v>
      </c>
      <c r="I12" s="49">
        <v>10</v>
      </c>
      <c r="J12" s="52"/>
      <c r="K12" s="46"/>
      <c r="L12" s="5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</row>
    <row r="13" spans="1:38" s="1" customFormat="1" x14ac:dyDescent="0.3">
      <c r="A13" s="29">
        <v>95</v>
      </c>
      <c r="B13" s="30">
        <v>17.25</v>
      </c>
      <c r="C13" s="34">
        <v>11</v>
      </c>
      <c r="D13" s="36"/>
      <c r="E13" s="40"/>
      <c r="F13" s="36"/>
      <c r="G13" s="37"/>
      <c r="H13" s="95">
        <v>160</v>
      </c>
      <c r="I13" s="49">
        <v>6</v>
      </c>
      <c r="J13" s="52"/>
      <c r="K13" s="46"/>
      <c r="L13" s="5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</row>
    <row r="14" spans="1:38" s="1" customFormat="1" x14ac:dyDescent="0.3">
      <c r="A14" s="29">
        <v>120</v>
      </c>
      <c r="B14" s="30">
        <v>19</v>
      </c>
      <c r="C14" s="34">
        <v>12</v>
      </c>
      <c r="D14" s="36"/>
      <c r="E14" s="40"/>
      <c r="F14" s="36"/>
      <c r="G14" s="37"/>
      <c r="H14" s="95">
        <v>125</v>
      </c>
      <c r="I14" s="49">
        <v>4.5</v>
      </c>
      <c r="J14" s="52"/>
      <c r="K14" s="46"/>
      <c r="L14" s="5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</row>
    <row r="15" spans="1:38" s="1" customFormat="1" x14ac:dyDescent="0.3">
      <c r="A15" s="29">
        <v>150</v>
      </c>
      <c r="B15" s="30">
        <v>21.6</v>
      </c>
      <c r="C15" s="34">
        <v>13</v>
      </c>
      <c r="D15" s="36"/>
      <c r="E15" s="40"/>
      <c r="F15" s="36"/>
      <c r="G15" s="37"/>
      <c r="H15" s="95">
        <v>100</v>
      </c>
      <c r="I15" s="49"/>
      <c r="J15" s="52"/>
      <c r="K15" s="46"/>
      <c r="L15" s="5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</row>
    <row r="16" spans="1:38" s="1" customFormat="1" x14ac:dyDescent="0.3">
      <c r="A16" s="29">
        <v>185</v>
      </c>
      <c r="B16" s="30">
        <v>23.4</v>
      </c>
      <c r="C16" s="34">
        <v>14</v>
      </c>
      <c r="D16" s="36"/>
      <c r="E16" s="40"/>
      <c r="F16" s="36"/>
      <c r="G16" s="37"/>
      <c r="H16" s="95">
        <v>80</v>
      </c>
      <c r="I16" s="50"/>
      <c r="J16" s="54"/>
      <c r="K16" s="47"/>
      <c r="L16" s="5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</row>
    <row r="17" spans="1:38" s="1" customFormat="1" x14ac:dyDescent="0.3">
      <c r="A17" s="29">
        <v>240</v>
      </c>
      <c r="B17" s="30">
        <v>26.7</v>
      </c>
      <c r="C17" s="34">
        <v>15</v>
      </c>
      <c r="D17" s="36"/>
      <c r="E17" s="40"/>
      <c r="F17" s="36"/>
      <c r="G17" s="37"/>
      <c r="H17" s="95">
        <v>63</v>
      </c>
      <c r="I17" s="50"/>
      <c r="J17" s="54"/>
      <c r="K17" s="47"/>
      <c r="L17" s="5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</row>
    <row r="18" spans="1:38" s="1" customFormat="1" x14ac:dyDescent="0.3">
      <c r="A18" s="29">
        <v>300</v>
      </c>
      <c r="B18" s="30">
        <v>28.5</v>
      </c>
      <c r="C18" s="34">
        <v>16</v>
      </c>
      <c r="D18" s="36"/>
      <c r="E18" s="40"/>
      <c r="F18" s="36"/>
      <c r="G18" s="37"/>
      <c r="H18" s="95">
        <v>40</v>
      </c>
      <c r="I18" s="50"/>
      <c r="J18" s="54"/>
      <c r="K18" s="47"/>
      <c r="L18" s="5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</row>
    <row r="19" spans="1:38" s="1" customFormat="1" x14ac:dyDescent="0.3">
      <c r="A19" s="29"/>
      <c r="B19" s="31"/>
      <c r="C19" s="34">
        <v>17</v>
      </c>
      <c r="D19" s="36"/>
      <c r="E19" s="40"/>
      <c r="F19" s="36"/>
      <c r="G19" s="37"/>
      <c r="H19" s="95">
        <v>32</v>
      </c>
      <c r="I19" s="50"/>
      <c r="J19" s="54"/>
      <c r="K19" s="47"/>
      <c r="L19" s="5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</row>
    <row r="20" spans="1:38" s="1" customFormat="1" x14ac:dyDescent="0.3">
      <c r="A20" s="29"/>
      <c r="B20" s="31"/>
      <c r="C20" s="34">
        <v>18</v>
      </c>
      <c r="D20" s="36"/>
      <c r="E20" s="40"/>
      <c r="F20" s="36"/>
      <c r="G20" s="37"/>
      <c r="H20" s="95">
        <v>25</v>
      </c>
      <c r="I20" s="50"/>
      <c r="J20" s="54"/>
      <c r="K20" s="47"/>
      <c r="L20" s="5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</row>
    <row r="21" spans="1:38" s="1" customFormat="1" x14ac:dyDescent="0.3">
      <c r="A21" s="29"/>
      <c r="B21" s="31"/>
      <c r="C21" s="34">
        <v>19</v>
      </c>
      <c r="D21" s="36"/>
      <c r="E21" s="40"/>
      <c r="F21" s="36"/>
      <c r="G21" s="37"/>
      <c r="H21" s="95">
        <v>20</v>
      </c>
      <c r="I21" s="50"/>
      <c r="J21" s="54"/>
      <c r="K21" s="47"/>
      <c r="L21" s="5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</row>
    <row r="22" spans="1:38" s="1" customFormat="1" x14ac:dyDescent="0.3">
      <c r="A22" s="29"/>
      <c r="B22" s="31"/>
      <c r="C22" s="34">
        <v>20</v>
      </c>
      <c r="D22" s="36"/>
      <c r="E22" s="40"/>
      <c r="F22" s="36"/>
      <c r="G22" s="37"/>
      <c r="H22" s="95">
        <v>16</v>
      </c>
      <c r="I22" s="50"/>
      <c r="J22" s="54"/>
      <c r="K22" s="47"/>
      <c r="L22" s="5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</row>
    <row r="23" spans="1:38" s="1" customFormat="1" ht="15" thickBot="1" x14ac:dyDescent="0.35">
      <c r="A23" s="32"/>
      <c r="B23" s="33"/>
      <c r="C23" s="35"/>
      <c r="D23" s="38"/>
      <c r="E23" s="41"/>
      <c r="F23" s="38"/>
      <c r="G23" s="39"/>
      <c r="H23" s="106">
        <v>10</v>
      </c>
      <c r="I23" s="51"/>
      <c r="J23" s="55"/>
      <c r="K23" s="56"/>
      <c r="L23" s="57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</row>
    <row r="24" spans="1:38" s="1" customFormat="1" ht="15" thickBot="1" x14ac:dyDescent="0.3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  <row r="25" spans="1:38" s="1" customFormat="1" ht="15" thickBot="1" x14ac:dyDescent="0.35">
      <c r="A25" s="142" t="s">
        <v>30</v>
      </c>
      <c r="B25" s="146"/>
      <c r="C25" s="146"/>
      <c r="D25" s="146"/>
      <c r="E25" s="146"/>
      <c r="F25" s="146"/>
      <c r="G25" s="146"/>
      <c r="H25" s="146"/>
      <c r="I25" s="146"/>
      <c r="J25" s="146"/>
      <c r="K25" s="146"/>
      <c r="L25" s="14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</row>
    <row r="26" spans="1:38" s="1" customFormat="1" ht="14.4" customHeight="1" x14ac:dyDescent="0.3">
      <c r="A26" s="144" t="s">
        <v>1</v>
      </c>
      <c r="B26" s="144" t="s">
        <v>5</v>
      </c>
      <c r="C26" s="147" t="s">
        <v>47</v>
      </c>
      <c r="D26" s="148"/>
      <c r="E26" s="144" t="s">
        <v>29</v>
      </c>
      <c r="F26" s="147" t="s">
        <v>48</v>
      </c>
      <c r="G26" s="148"/>
      <c r="H26" s="147" t="s">
        <v>49</v>
      </c>
      <c r="I26" s="149"/>
      <c r="J26" s="148"/>
      <c r="K26" s="147" t="s">
        <v>50</v>
      </c>
      <c r="L26" s="148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</row>
    <row r="27" spans="1:38" s="1" customFormat="1" ht="27" thickBot="1" x14ac:dyDescent="0.35">
      <c r="A27" s="145"/>
      <c r="B27" s="145"/>
      <c r="C27" s="98" t="s">
        <v>20</v>
      </c>
      <c r="D27" s="99" t="s">
        <v>9</v>
      </c>
      <c r="E27" s="145"/>
      <c r="F27" s="98" t="s">
        <v>4</v>
      </c>
      <c r="G27" s="99" t="s">
        <v>31</v>
      </c>
      <c r="H27" s="98" t="s">
        <v>6</v>
      </c>
      <c r="I27" s="92" t="s">
        <v>54</v>
      </c>
      <c r="J27" s="99" t="s">
        <v>55</v>
      </c>
      <c r="K27" s="98" t="s">
        <v>21</v>
      </c>
      <c r="L27" s="93" t="s">
        <v>32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</row>
    <row r="28" spans="1:38" s="1" customFormat="1" x14ac:dyDescent="0.3">
      <c r="A28" s="94" t="s">
        <v>35</v>
      </c>
      <c r="B28" s="94">
        <v>0</v>
      </c>
      <c r="C28" s="100" t="s">
        <v>169</v>
      </c>
      <c r="D28" s="101">
        <v>1</v>
      </c>
      <c r="E28" s="94" t="s">
        <v>169</v>
      </c>
      <c r="F28" s="107" t="s">
        <v>34</v>
      </c>
      <c r="G28" s="101">
        <v>1</v>
      </c>
      <c r="H28" s="107" t="s">
        <v>44</v>
      </c>
      <c r="I28" s="23">
        <f>1/1.25</f>
        <v>0.8</v>
      </c>
      <c r="J28" s="110">
        <v>0.05</v>
      </c>
      <c r="K28" s="107" t="s">
        <v>34</v>
      </c>
      <c r="L28" s="101">
        <v>1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</row>
    <row r="29" spans="1:38" s="1" customFormat="1" x14ac:dyDescent="0.3">
      <c r="A29" s="95" t="s">
        <v>36</v>
      </c>
      <c r="B29" s="95">
        <v>5</v>
      </c>
      <c r="C29" s="102">
        <v>0.5</v>
      </c>
      <c r="D29" s="30">
        <v>1.28</v>
      </c>
      <c r="E29" s="95">
        <f>1</f>
        <v>1</v>
      </c>
      <c r="F29" s="36" t="s">
        <v>33</v>
      </c>
      <c r="G29" s="30">
        <v>0.9</v>
      </c>
      <c r="H29" s="36" t="s">
        <v>45</v>
      </c>
      <c r="I29" s="7">
        <f>1/1.25</f>
        <v>0.8</v>
      </c>
      <c r="J29" s="111">
        <v>1.4999999999999999E-2</v>
      </c>
      <c r="K29" s="36" t="s">
        <v>33</v>
      </c>
      <c r="L29" s="30">
        <v>0.85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</row>
    <row r="30" spans="1:38" s="1" customFormat="1" x14ac:dyDescent="0.3">
      <c r="A30" s="95" t="s">
        <v>37</v>
      </c>
      <c r="B30" s="95">
        <v>10</v>
      </c>
      <c r="C30" s="102">
        <v>0.7</v>
      </c>
      <c r="D30" s="30">
        <v>1.2</v>
      </c>
      <c r="E30" s="95">
        <f t="shared" ref="E30:E48" si="0">E29+1</f>
        <v>2</v>
      </c>
      <c r="F30" s="36"/>
      <c r="G30" s="37"/>
      <c r="H30" s="36" t="s">
        <v>90</v>
      </c>
      <c r="I30" s="7">
        <v>1</v>
      </c>
      <c r="J30" s="111">
        <v>0.05</v>
      </c>
      <c r="K30" s="36"/>
      <c r="L30" s="37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</row>
    <row r="31" spans="1:38" s="1" customFormat="1" x14ac:dyDescent="0.3">
      <c r="A31" s="95" t="s">
        <v>38</v>
      </c>
      <c r="B31" s="95">
        <v>15</v>
      </c>
      <c r="C31" s="102">
        <v>1</v>
      </c>
      <c r="D31" s="30">
        <v>1.18</v>
      </c>
      <c r="E31" s="95">
        <f t="shared" si="0"/>
        <v>3</v>
      </c>
      <c r="F31" s="36"/>
      <c r="G31" s="37"/>
      <c r="H31" s="36" t="s">
        <v>46</v>
      </c>
      <c r="I31" s="7">
        <f>1/1.25</f>
        <v>0.8</v>
      </c>
      <c r="J31" s="111">
        <v>1.4999999999999999E-2</v>
      </c>
      <c r="K31" s="36"/>
      <c r="L31" s="37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 spans="1:38" s="1" customFormat="1" x14ac:dyDescent="0.3">
      <c r="A32" s="95" t="s">
        <v>39</v>
      </c>
      <c r="B32" s="95">
        <v>20</v>
      </c>
      <c r="C32" s="102">
        <v>1.5</v>
      </c>
      <c r="D32" s="30">
        <v>1.1000000000000001</v>
      </c>
      <c r="E32" s="95">
        <f t="shared" si="0"/>
        <v>4</v>
      </c>
      <c r="F32" s="36"/>
      <c r="G32" s="37"/>
      <c r="H32" s="36" t="s">
        <v>51</v>
      </c>
      <c r="I32" s="7">
        <v>1</v>
      </c>
      <c r="J32" s="111">
        <v>1.4999999999999999E-2</v>
      </c>
      <c r="K32" s="36"/>
      <c r="L32" s="37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</row>
    <row r="33" spans="1:37" s="1" customFormat="1" x14ac:dyDescent="0.3">
      <c r="A33" s="95" t="s">
        <v>40</v>
      </c>
      <c r="B33" s="95">
        <v>25</v>
      </c>
      <c r="C33" s="102">
        <v>2</v>
      </c>
      <c r="D33" s="30">
        <v>1.05</v>
      </c>
      <c r="E33" s="95">
        <f t="shared" si="0"/>
        <v>5</v>
      </c>
      <c r="F33" s="36"/>
      <c r="G33" s="37"/>
      <c r="H33" s="36" t="s">
        <v>53</v>
      </c>
      <c r="I33" s="7">
        <v>1</v>
      </c>
      <c r="J33" s="111">
        <v>0.05</v>
      </c>
      <c r="K33" s="36"/>
      <c r="L33" s="37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  <row r="34" spans="1:37" s="1" customFormat="1" x14ac:dyDescent="0.3">
      <c r="A34" s="95" t="s">
        <v>41</v>
      </c>
      <c r="B34" s="95">
        <v>30</v>
      </c>
      <c r="C34" s="102">
        <v>2.5</v>
      </c>
      <c r="D34" s="30">
        <v>1</v>
      </c>
      <c r="E34" s="95">
        <f t="shared" si="0"/>
        <v>6</v>
      </c>
      <c r="F34" s="36"/>
      <c r="G34" s="37"/>
      <c r="H34" s="36" t="s">
        <v>172</v>
      </c>
      <c r="I34" s="7">
        <v>1</v>
      </c>
      <c r="J34" s="111">
        <v>5.0000000000000001E-3</v>
      </c>
      <c r="K34" s="36"/>
      <c r="L34" s="37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</row>
    <row r="35" spans="1:37" s="1" customFormat="1" x14ac:dyDescent="0.3">
      <c r="A35" s="95" t="s">
        <v>42</v>
      </c>
      <c r="B35" s="95">
        <v>35</v>
      </c>
      <c r="C35" s="102">
        <v>3</v>
      </c>
      <c r="D35" s="30">
        <v>0.96</v>
      </c>
      <c r="E35" s="95">
        <f t="shared" si="0"/>
        <v>7</v>
      </c>
      <c r="F35" s="36"/>
      <c r="G35" s="37"/>
      <c r="H35" s="36" t="s">
        <v>171</v>
      </c>
      <c r="I35" s="7">
        <v>1</v>
      </c>
      <c r="J35" s="111">
        <v>0.01</v>
      </c>
      <c r="K35" s="36"/>
      <c r="L35" s="37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</row>
    <row r="36" spans="1:37" s="1" customFormat="1" x14ac:dyDescent="0.3">
      <c r="A36" s="95" t="s">
        <v>43</v>
      </c>
      <c r="B36" s="95">
        <v>40</v>
      </c>
      <c r="C36" s="102"/>
      <c r="D36" s="30"/>
      <c r="E36" s="95">
        <f t="shared" si="0"/>
        <v>8</v>
      </c>
      <c r="F36" s="36"/>
      <c r="G36" s="37"/>
      <c r="H36" s="36" t="s">
        <v>173</v>
      </c>
      <c r="I36" s="7">
        <v>1</v>
      </c>
      <c r="J36" s="111">
        <v>0.01</v>
      </c>
      <c r="K36" s="36"/>
      <c r="L36" s="37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</row>
    <row r="37" spans="1:37" s="1" customFormat="1" x14ac:dyDescent="0.3">
      <c r="A37" s="95"/>
      <c r="B37" s="95">
        <v>45</v>
      </c>
      <c r="C37" s="102"/>
      <c r="D37" s="30"/>
      <c r="E37" s="95">
        <f t="shared" si="0"/>
        <v>9</v>
      </c>
      <c r="F37" s="36"/>
      <c r="G37" s="37"/>
      <c r="H37" s="36" t="s">
        <v>176</v>
      </c>
      <c r="I37" s="7">
        <v>1</v>
      </c>
      <c r="J37" s="111">
        <v>5.0000000000000001E-3</v>
      </c>
      <c r="K37" s="36"/>
      <c r="L37" s="37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 spans="1:37" s="1" customFormat="1" x14ac:dyDescent="0.3">
      <c r="A38" s="95"/>
      <c r="B38" s="95">
        <v>50</v>
      </c>
      <c r="C38" s="102"/>
      <c r="D38" s="30"/>
      <c r="E38" s="95">
        <f t="shared" si="0"/>
        <v>10</v>
      </c>
      <c r="F38" s="36"/>
      <c r="G38" s="37"/>
      <c r="H38" s="36" t="s">
        <v>174</v>
      </c>
      <c r="I38" s="7">
        <v>1</v>
      </c>
      <c r="J38" s="111">
        <v>1.4999999999999999E-2</v>
      </c>
      <c r="K38" s="36"/>
      <c r="L38" s="37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</row>
    <row r="39" spans="1:37" s="1" customFormat="1" x14ac:dyDescent="0.3">
      <c r="A39" s="96"/>
      <c r="B39" s="95">
        <v>55</v>
      </c>
      <c r="C39" s="102"/>
      <c r="D39" s="30"/>
      <c r="E39" s="95">
        <f t="shared" si="0"/>
        <v>11</v>
      </c>
      <c r="F39" s="103"/>
      <c r="G39" s="108"/>
      <c r="H39" s="36" t="s">
        <v>181</v>
      </c>
      <c r="I39" s="7">
        <v>1</v>
      </c>
      <c r="J39" s="111">
        <v>0.03</v>
      </c>
      <c r="K39" s="103"/>
      <c r="L39" s="108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</row>
    <row r="40" spans="1:37" s="1" customFormat="1" x14ac:dyDescent="0.3">
      <c r="A40" s="96"/>
      <c r="B40" s="95">
        <v>60</v>
      </c>
      <c r="C40" s="102"/>
      <c r="D40" s="30"/>
      <c r="E40" s="95">
        <f t="shared" si="0"/>
        <v>12</v>
      </c>
      <c r="F40" s="103"/>
      <c r="G40" s="108"/>
      <c r="H40" s="36" t="s">
        <v>175</v>
      </c>
      <c r="I40" s="7">
        <v>1</v>
      </c>
      <c r="J40" s="111">
        <v>4.4999999999999998E-2</v>
      </c>
      <c r="K40" s="103"/>
      <c r="L40" s="108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 spans="1:37" s="1" customFormat="1" x14ac:dyDescent="0.3">
      <c r="A41" s="96"/>
      <c r="B41" s="96"/>
      <c r="C41" s="103"/>
      <c r="D41" s="30"/>
      <c r="E41" s="95">
        <f t="shared" si="0"/>
        <v>13</v>
      </c>
      <c r="F41" s="103"/>
      <c r="G41" s="108"/>
      <c r="H41" s="36" t="s">
        <v>227</v>
      </c>
      <c r="I41" s="7">
        <v>1</v>
      </c>
      <c r="J41" s="111">
        <v>0.05</v>
      </c>
      <c r="K41" s="103"/>
      <c r="L41" s="108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</row>
    <row r="42" spans="1:37" s="1" customFormat="1" x14ac:dyDescent="0.3">
      <c r="A42" s="96"/>
      <c r="B42" s="96"/>
      <c r="C42" s="103"/>
      <c r="D42" s="30"/>
      <c r="E42" s="95">
        <f t="shared" si="0"/>
        <v>14</v>
      </c>
      <c r="F42" s="103"/>
      <c r="G42" s="108"/>
      <c r="H42" s="36" t="s">
        <v>182</v>
      </c>
      <c r="I42" s="7">
        <v>1</v>
      </c>
      <c r="J42" s="111">
        <v>6.5000000000000002E-2</v>
      </c>
      <c r="K42" s="103"/>
      <c r="L42" s="108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spans="1:37" s="1" customFormat="1" x14ac:dyDescent="0.3">
      <c r="A43" s="96"/>
      <c r="B43" s="96"/>
      <c r="C43" s="103"/>
      <c r="D43" s="30"/>
      <c r="E43" s="95">
        <f t="shared" si="0"/>
        <v>15</v>
      </c>
      <c r="F43" s="103"/>
      <c r="G43" s="108"/>
      <c r="H43" s="36" t="s">
        <v>184</v>
      </c>
      <c r="I43" s="7">
        <v>1</v>
      </c>
      <c r="J43" s="111">
        <v>5.0000000000000001E-3</v>
      </c>
      <c r="K43" s="103"/>
      <c r="L43" s="108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</row>
    <row r="44" spans="1:37" s="1" customFormat="1" x14ac:dyDescent="0.3">
      <c r="A44" s="96"/>
      <c r="B44" s="96"/>
      <c r="C44" s="103"/>
      <c r="D44" s="30"/>
      <c r="E44" s="95">
        <f t="shared" si="0"/>
        <v>16</v>
      </c>
      <c r="F44" s="103"/>
      <c r="G44" s="108"/>
      <c r="H44" s="36"/>
      <c r="I44" s="7"/>
      <c r="J44" s="111"/>
      <c r="K44" s="103"/>
      <c r="L44" s="108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</row>
    <row r="45" spans="1:37" s="1" customFormat="1" x14ac:dyDescent="0.3">
      <c r="A45" s="96"/>
      <c r="B45" s="96"/>
      <c r="C45" s="103"/>
      <c r="D45" s="30"/>
      <c r="E45" s="95">
        <f t="shared" si="0"/>
        <v>17</v>
      </c>
      <c r="F45" s="103"/>
      <c r="G45" s="108"/>
      <c r="H45" s="36"/>
      <c r="I45" s="7"/>
      <c r="J45" s="111"/>
      <c r="K45" s="103"/>
      <c r="L45" s="108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</row>
    <row r="46" spans="1:37" s="1" customFormat="1" x14ac:dyDescent="0.3">
      <c r="A46" s="96"/>
      <c r="B46" s="96"/>
      <c r="C46" s="103"/>
      <c r="D46" s="30"/>
      <c r="E46" s="95">
        <f t="shared" si="0"/>
        <v>18</v>
      </c>
      <c r="F46" s="103"/>
      <c r="G46" s="108"/>
      <c r="H46" s="36"/>
      <c r="I46" s="7"/>
      <c r="J46" s="111"/>
      <c r="K46" s="103"/>
      <c r="L46" s="108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</row>
    <row r="47" spans="1:37" s="1" customFormat="1" x14ac:dyDescent="0.3">
      <c r="A47" s="96"/>
      <c r="B47" s="96"/>
      <c r="C47" s="103"/>
      <c r="D47" s="30"/>
      <c r="E47" s="95">
        <f t="shared" si="0"/>
        <v>19</v>
      </c>
      <c r="F47" s="103"/>
      <c r="G47" s="108"/>
      <c r="H47" s="36"/>
      <c r="I47" s="7"/>
      <c r="J47" s="111"/>
      <c r="K47" s="103"/>
      <c r="L47" s="108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</row>
    <row r="48" spans="1:37" s="1" customFormat="1" ht="15" thickBot="1" x14ac:dyDescent="0.35">
      <c r="A48" s="97"/>
      <c r="B48" s="97"/>
      <c r="C48" s="104"/>
      <c r="D48" s="105"/>
      <c r="E48" s="106">
        <f t="shared" si="0"/>
        <v>20</v>
      </c>
      <c r="F48" s="104"/>
      <c r="G48" s="109"/>
      <c r="H48" s="38"/>
      <c r="I48" s="27"/>
      <c r="J48" s="112"/>
      <c r="K48" s="104"/>
      <c r="L48" s="109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 spans="1:37" s="1" customFormat="1" ht="15" thickBot="1" x14ac:dyDescent="0.3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 spans="1:37" s="1" customFormat="1" ht="15" thickBot="1" x14ac:dyDescent="0.35">
      <c r="A50" s="150" t="s">
        <v>86</v>
      </c>
      <c r="B50" s="151"/>
      <c r="C50" s="151"/>
      <c r="D50" s="151"/>
      <c r="E50" s="151"/>
      <c r="F50" s="151"/>
      <c r="G50" s="151"/>
      <c r="H50" s="151"/>
      <c r="I50" s="151"/>
      <c r="J50" s="152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 spans="1:37" s="1" customFormat="1" x14ac:dyDescent="0.3">
      <c r="A51" s="42" t="s">
        <v>0</v>
      </c>
      <c r="B51" s="115" t="str">
        <f t="array" ref="B51:J51">TRANSPOSE(A28:A36)</f>
        <v>A1</v>
      </c>
      <c r="C51" s="116" t="str">
        <v>A2</v>
      </c>
      <c r="D51" s="116" t="str">
        <v>B1</v>
      </c>
      <c r="E51" s="116" t="str">
        <v>B2</v>
      </c>
      <c r="F51" s="116" t="str">
        <v>C</v>
      </c>
      <c r="G51" s="116" t="str">
        <v>D1</v>
      </c>
      <c r="H51" s="116" t="str">
        <v>D2</v>
      </c>
      <c r="I51" s="116" t="str">
        <v>E</v>
      </c>
      <c r="J51" s="117" t="str">
        <v>F</v>
      </c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 spans="1:37" s="1" customFormat="1" x14ac:dyDescent="0.3">
      <c r="A52" s="113" t="str">
        <f t="shared" ref="A52:A72" si="1">E28</f>
        <v>No aplica</v>
      </c>
      <c r="B52" s="118">
        <v>1</v>
      </c>
      <c r="C52" s="7">
        <v>1</v>
      </c>
      <c r="D52" s="7">
        <v>1</v>
      </c>
      <c r="E52" s="7">
        <v>1</v>
      </c>
      <c r="F52" s="7">
        <v>1</v>
      </c>
      <c r="G52" s="7">
        <v>1</v>
      </c>
      <c r="H52" s="7">
        <v>1</v>
      </c>
      <c r="I52" s="7">
        <v>1</v>
      </c>
      <c r="J52" s="30">
        <v>1</v>
      </c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 spans="1:37" s="1" customFormat="1" x14ac:dyDescent="0.3">
      <c r="A53" s="113">
        <f t="shared" si="1"/>
        <v>1</v>
      </c>
      <c r="B53" s="118">
        <v>1</v>
      </c>
      <c r="C53" s="7">
        <v>1</v>
      </c>
      <c r="D53" s="7">
        <v>1</v>
      </c>
      <c r="E53" s="7">
        <v>1</v>
      </c>
      <c r="F53" s="7">
        <v>1</v>
      </c>
      <c r="G53" s="7">
        <v>1</v>
      </c>
      <c r="H53" s="7">
        <v>1</v>
      </c>
      <c r="I53" s="7">
        <v>1</v>
      </c>
      <c r="J53" s="30">
        <v>1</v>
      </c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 spans="1:37" s="1" customFormat="1" x14ac:dyDescent="0.3">
      <c r="A54" s="113">
        <f t="shared" si="1"/>
        <v>2</v>
      </c>
      <c r="B54" s="118">
        <v>0.8</v>
      </c>
      <c r="C54" s="7">
        <v>0.8</v>
      </c>
      <c r="D54" s="7">
        <v>0.8</v>
      </c>
      <c r="E54" s="7">
        <v>0.8</v>
      </c>
      <c r="F54" s="7">
        <v>0.8</v>
      </c>
      <c r="G54" s="7">
        <v>0.85</v>
      </c>
      <c r="H54" s="7">
        <v>0.75</v>
      </c>
      <c r="I54" s="7">
        <v>0.8</v>
      </c>
      <c r="J54" s="30">
        <v>0.8</v>
      </c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spans="1:37" s="1" customFormat="1" x14ac:dyDescent="0.3">
      <c r="A55" s="113">
        <f t="shared" si="1"/>
        <v>3</v>
      </c>
      <c r="B55" s="118">
        <v>0.7</v>
      </c>
      <c r="C55" s="7">
        <v>0.7</v>
      </c>
      <c r="D55" s="7">
        <v>0.7</v>
      </c>
      <c r="E55" s="7">
        <v>0.7</v>
      </c>
      <c r="F55" s="7">
        <v>0.7</v>
      </c>
      <c r="G55" s="7">
        <v>0.75</v>
      </c>
      <c r="H55" s="7">
        <v>0.65</v>
      </c>
      <c r="I55" s="7">
        <v>0.7</v>
      </c>
      <c r="J55" s="30">
        <v>0.7</v>
      </c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 spans="1:37" s="1" customFormat="1" x14ac:dyDescent="0.3">
      <c r="A56" s="113">
        <f t="shared" si="1"/>
        <v>4</v>
      </c>
      <c r="B56" s="118">
        <v>0.7</v>
      </c>
      <c r="C56" s="7">
        <v>0.7</v>
      </c>
      <c r="D56" s="7">
        <v>0.7</v>
      </c>
      <c r="E56" s="7">
        <v>0.7</v>
      </c>
      <c r="F56" s="7">
        <v>0.7</v>
      </c>
      <c r="G56" s="7">
        <v>0.7</v>
      </c>
      <c r="H56" s="7">
        <v>0.6</v>
      </c>
      <c r="I56" s="7">
        <v>0.7</v>
      </c>
      <c r="J56" s="30">
        <v>0.7</v>
      </c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</row>
    <row r="57" spans="1:37" s="1" customFormat="1" x14ac:dyDescent="0.3">
      <c r="A57" s="113">
        <f t="shared" si="1"/>
        <v>5</v>
      </c>
      <c r="B57" s="118">
        <v>0.55000000000000004</v>
      </c>
      <c r="C57" s="7">
        <v>0.55000000000000004</v>
      </c>
      <c r="D57" s="7">
        <v>0.55000000000000004</v>
      </c>
      <c r="E57" s="7">
        <v>0.55000000000000004</v>
      </c>
      <c r="F57" s="7">
        <v>0.55000000000000004</v>
      </c>
      <c r="G57" s="7">
        <v>0.65</v>
      </c>
      <c r="H57" s="7">
        <v>0.55000000000000004</v>
      </c>
      <c r="I57" s="7">
        <v>0.55000000000000004</v>
      </c>
      <c r="J57" s="30">
        <v>0.55000000000000004</v>
      </c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</row>
    <row r="58" spans="1:37" s="1" customFormat="1" x14ac:dyDescent="0.3">
      <c r="A58" s="113">
        <f t="shared" si="1"/>
        <v>6</v>
      </c>
      <c r="B58" s="118">
        <v>0.55000000000000004</v>
      </c>
      <c r="C58" s="7">
        <v>0.55000000000000004</v>
      </c>
      <c r="D58" s="7">
        <v>0.55000000000000004</v>
      </c>
      <c r="E58" s="7">
        <v>0.55000000000000004</v>
      </c>
      <c r="F58" s="7">
        <v>0.55000000000000004</v>
      </c>
      <c r="G58" s="7">
        <v>0.6</v>
      </c>
      <c r="H58" s="7">
        <v>0.5</v>
      </c>
      <c r="I58" s="7">
        <v>0.55000000000000004</v>
      </c>
      <c r="J58" s="30">
        <v>0.55000000000000004</v>
      </c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</row>
    <row r="59" spans="1:37" s="1" customFormat="1" x14ac:dyDescent="0.3">
      <c r="A59" s="113">
        <f t="shared" si="1"/>
        <v>7</v>
      </c>
      <c r="B59" s="118">
        <v>0.5</v>
      </c>
      <c r="C59" s="7">
        <v>0.5</v>
      </c>
      <c r="D59" s="7">
        <v>0.5</v>
      </c>
      <c r="E59" s="7">
        <v>0.5</v>
      </c>
      <c r="F59" s="7">
        <v>0.5</v>
      </c>
      <c r="G59" s="7">
        <v>0.56999999999999995</v>
      </c>
      <c r="H59" s="7">
        <v>0.45</v>
      </c>
      <c r="I59" s="7">
        <v>0.5</v>
      </c>
      <c r="J59" s="30">
        <v>0.5</v>
      </c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 spans="1:37" s="1" customFormat="1" x14ac:dyDescent="0.3">
      <c r="A60" s="113">
        <f t="shared" si="1"/>
        <v>8</v>
      </c>
      <c r="B60" s="118">
        <v>0.5</v>
      </c>
      <c r="C60" s="7">
        <v>0.5</v>
      </c>
      <c r="D60" s="7">
        <v>0.5</v>
      </c>
      <c r="E60" s="7">
        <v>0.5</v>
      </c>
      <c r="F60" s="7">
        <v>0.5</v>
      </c>
      <c r="G60" s="7">
        <v>0.54</v>
      </c>
      <c r="H60" s="7">
        <v>0.43</v>
      </c>
      <c r="I60" s="7">
        <v>0.5</v>
      </c>
      <c r="J60" s="30">
        <v>0.5</v>
      </c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</row>
    <row r="61" spans="1:37" s="1" customFormat="1" x14ac:dyDescent="0.3">
      <c r="A61" s="113">
        <f t="shared" si="1"/>
        <v>9</v>
      </c>
      <c r="B61" s="118">
        <v>0.5</v>
      </c>
      <c r="C61" s="7">
        <v>0.5</v>
      </c>
      <c r="D61" s="7">
        <v>0.5</v>
      </c>
      <c r="E61" s="7">
        <v>0.5</v>
      </c>
      <c r="F61" s="7">
        <v>0.5</v>
      </c>
      <c r="G61" s="7">
        <v>0.52</v>
      </c>
      <c r="H61" s="7">
        <v>0.41</v>
      </c>
      <c r="I61" s="7">
        <v>0.5</v>
      </c>
      <c r="J61" s="30">
        <v>0.5</v>
      </c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</row>
    <row r="62" spans="1:37" s="1" customFormat="1" x14ac:dyDescent="0.3">
      <c r="A62" s="113">
        <f t="shared" si="1"/>
        <v>10</v>
      </c>
      <c r="B62" s="118">
        <v>0.45</v>
      </c>
      <c r="C62" s="7">
        <v>0.45</v>
      </c>
      <c r="D62" s="7">
        <v>0.45</v>
      </c>
      <c r="E62" s="7">
        <v>0.45</v>
      </c>
      <c r="F62" s="7">
        <v>0.45</v>
      </c>
      <c r="G62" s="7">
        <v>0.49</v>
      </c>
      <c r="H62" s="7">
        <v>0.36</v>
      </c>
      <c r="I62" s="7">
        <v>0.45</v>
      </c>
      <c r="J62" s="30">
        <v>0.45</v>
      </c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 spans="1:37" s="1" customFormat="1" x14ac:dyDescent="0.3">
      <c r="A63" s="113">
        <f t="shared" si="1"/>
        <v>11</v>
      </c>
      <c r="B63" s="118">
        <v>0.45</v>
      </c>
      <c r="C63" s="7">
        <v>0.45</v>
      </c>
      <c r="D63" s="7">
        <v>0.45</v>
      </c>
      <c r="E63" s="7">
        <v>0.45</v>
      </c>
      <c r="F63" s="7">
        <v>0.45</v>
      </c>
      <c r="G63" s="7">
        <v>0.47</v>
      </c>
      <c r="H63" s="7">
        <v>0.36</v>
      </c>
      <c r="I63" s="7">
        <v>0.45</v>
      </c>
      <c r="J63" s="30">
        <v>0.45</v>
      </c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</row>
    <row r="64" spans="1:37" s="1" customFormat="1" x14ac:dyDescent="0.3">
      <c r="A64" s="113">
        <f t="shared" si="1"/>
        <v>12</v>
      </c>
      <c r="B64" s="118">
        <v>0.45</v>
      </c>
      <c r="C64" s="7">
        <v>0.45</v>
      </c>
      <c r="D64" s="7">
        <v>0.45</v>
      </c>
      <c r="E64" s="7">
        <v>0.45</v>
      </c>
      <c r="F64" s="7">
        <v>0.45</v>
      </c>
      <c r="G64" s="7">
        <v>0.45</v>
      </c>
      <c r="H64" s="7">
        <v>0.36</v>
      </c>
      <c r="I64" s="7">
        <v>0.45</v>
      </c>
      <c r="J64" s="30">
        <v>0.45</v>
      </c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 spans="1:37" s="1" customFormat="1" x14ac:dyDescent="0.3">
      <c r="A65" s="113">
        <f t="shared" si="1"/>
        <v>13</v>
      </c>
      <c r="B65" s="118">
        <v>0.4</v>
      </c>
      <c r="C65" s="7">
        <v>0.4</v>
      </c>
      <c r="D65" s="7">
        <v>0.4</v>
      </c>
      <c r="E65" s="7">
        <v>0.4</v>
      </c>
      <c r="F65" s="7">
        <v>0.4</v>
      </c>
      <c r="G65" s="7">
        <v>0.44</v>
      </c>
      <c r="H65" s="7">
        <v>0.32</v>
      </c>
      <c r="I65" s="7">
        <v>0.4</v>
      </c>
      <c r="J65" s="30">
        <v>0.4</v>
      </c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37" s="1" customFormat="1" x14ac:dyDescent="0.3">
      <c r="A66" s="113">
        <f t="shared" si="1"/>
        <v>14</v>
      </c>
      <c r="B66" s="118">
        <v>0.4</v>
      </c>
      <c r="C66" s="7">
        <v>0.4</v>
      </c>
      <c r="D66" s="7">
        <v>0.4</v>
      </c>
      <c r="E66" s="7">
        <v>0.4</v>
      </c>
      <c r="F66" s="7">
        <v>0.4</v>
      </c>
      <c r="G66" s="7">
        <v>0.42</v>
      </c>
      <c r="H66" s="7">
        <v>0.32</v>
      </c>
      <c r="I66" s="7">
        <v>0.4</v>
      </c>
      <c r="J66" s="30">
        <v>0.4</v>
      </c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</row>
    <row r="67" spans="1:37" s="1" customFormat="1" x14ac:dyDescent="0.3">
      <c r="A67" s="113">
        <f t="shared" si="1"/>
        <v>15</v>
      </c>
      <c r="B67" s="118">
        <v>0.4</v>
      </c>
      <c r="C67" s="7">
        <v>0.4</v>
      </c>
      <c r="D67" s="7">
        <v>0.4</v>
      </c>
      <c r="E67" s="7">
        <v>0.4</v>
      </c>
      <c r="F67" s="7">
        <v>0.4</v>
      </c>
      <c r="G67" s="7">
        <v>0.41</v>
      </c>
      <c r="H67" s="7">
        <v>0.32</v>
      </c>
      <c r="I67" s="7">
        <v>0.4</v>
      </c>
      <c r="J67" s="30">
        <v>0.4</v>
      </c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</row>
    <row r="68" spans="1:37" s="1" customFormat="1" x14ac:dyDescent="0.3">
      <c r="A68" s="113">
        <f t="shared" si="1"/>
        <v>16</v>
      </c>
      <c r="B68" s="118">
        <v>0.4</v>
      </c>
      <c r="C68" s="7">
        <v>0.4</v>
      </c>
      <c r="D68" s="7">
        <v>0.4</v>
      </c>
      <c r="E68" s="7">
        <v>0.4</v>
      </c>
      <c r="F68" s="7">
        <v>0.4</v>
      </c>
      <c r="G68" s="7">
        <v>0.39</v>
      </c>
      <c r="H68" s="7">
        <v>0.32</v>
      </c>
      <c r="I68" s="7">
        <v>0.4</v>
      </c>
      <c r="J68" s="30">
        <v>0.4</v>
      </c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 spans="1:37" s="1" customFormat="1" x14ac:dyDescent="0.3">
      <c r="A69" s="113">
        <f t="shared" si="1"/>
        <v>17</v>
      </c>
      <c r="B69" s="118">
        <v>0.4</v>
      </c>
      <c r="C69" s="7">
        <v>0.4</v>
      </c>
      <c r="D69" s="7">
        <v>0.4</v>
      </c>
      <c r="E69" s="7">
        <v>0.4</v>
      </c>
      <c r="F69" s="7">
        <v>0.4</v>
      </c>
      <c r="G69" s="7">
        <v>0.38</v>
      </c>
      <c r="H69" s="7">
        <v>0.28999999999999998</v>
      </c>
      <c r="I69" s="7">
        <v>0.4</v>
      </c>
      <c r="J69" s="30">
        <v>0.4</v>
      </c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</row>
    <row r="70" spans="1:37" s="1" customFormat="1" x14ac:dyDescent="0.3">
      <c r="A70" s="113">
        <f t="shared" si="1"/>
        <v>18</v>
      </c>
      <c r="B70" s="118">
        <v>0.4</v>
      </c>
      <c r="C70" s="7">
        <v>0.4</v>
      </c>
      <c r="D70" s="7">
        <v>0.4</v>
      </c>
      <c r="E70" s="7">
        <v>0.4</v>
      </c>
      <c r="F70" s="7">
        <v>0.4</v>
      </c>
      <c r="G70" s="7">
        <v>0.37</v>
      </c>
      <c r="H70" s="7">
        <v>0.28999999999999998</v>
      </c>
      <c r="I70" s="7">
        <v>0.4</v>
      </c>
      <c r="J70" s="30">
        <v>0.4</v>
      </c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</row>
    <row r="71" spans="1:37" s="1" customFormat="1" x14ac:dyDescent="0.3">
      <c r="A71" s="113">
        <f t="shared" si="1"/>
        <v>19</v>
      </c>
      <c r="B71" s="118">
        <v>0.4</v>
      </c>
      <c r="C71" s="7">
        <v>0.4</v>
      </c>
      <c r="D71" s="7">
        <v>0.4</v>
      </c>
      <c r="E71" s="7">
        <v>0.4</v>
      </c>
      <c r="F71" s="7">
        <v>0.4</v>
      </c>
      <c r="G71" s="7">
        <v>0.35</v>
      </c>
      <c r="H71" s="7">
        <v>0.28999999999999998</v>
      </c>
      <c r="I71" s="7">
        <v>0.4</v>
      </c>
      <c r="J71" s="30">
        <v>0.4</v>
      </c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</row>
    <row r="72" spans="1:37" s="1" customFormat="1" ht="15" thickBot="1" x14ac:dyDescent="0.35">
      <c r="A72" s="114">
        <f t="shared" si="1"/>
        <v>20</v>
      </c>
      <c r="B72" s="119">
        <v>0.4</v>
      </c>
      <c r="C72" s="27">
        <v>0.4</v>
      </c>
      <c r="D72" s="27">
        <v>0.4</v>
      </c>
      <c r="E72" s="27">
        <v>0.4</v>
      </c>
      <c r="F72" s="27">
        <v>0.4</v>
      </c>
      <c r="G72" s="27">
        <v>0.34</v>
      </c>
      <c r="H72" s="27">
        <v>0.28999999999999998</v>
      </c>
      <c r="I72" s="27">
        <v>0.4</v>
      </c>
      <c r="J72" s="105">
        <v>0.4</v>
      </c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</row>
    <row r="73" spans="1:37" s="1" customFormat="1" ht="15" thickBot="1" x14ac:dyDescent="0.3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</row>
    <row r="74" spans="1:37" s="1" customFormat="1" ht="15" thickBot="1" x14ac:dyDescent="0.35">
      <c r="A74" s="139" t="s">
        <v>71</v>
      </c>
      <c r="B74" s="140"/>
      <c r="C74" s="140"/>
      <c r="D74" s="141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</row>
    <row r="75" spans="1:37" s="1" customFormat="1" x14ac:dyDescent="0.3">
      <c r="A75" s="42"/>
      <c r="B75" s="115" t="str">
        <f t="array" ref="B75:D75">TRANSPOSE(D3:D5)</f>
        <v>Cobre</v>
      </c>
      <c r="C75" s="116" t="str">
        <v>Aluminio</v>
      </c>
      <c r="D75" s="117">
        <v>0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</row>
    <row r="76" spans="1:37" s="1" customFormat="1" x14ac:dyDescent="0.3">
      <c r="A76" s="113" t="str">
        <f>F3</f>
        <v>XLPE</v>
      </c>
      <c r="B76" s="36">
        <v>143</v>
      </c>
      <c r="C76" s="9">
        <v>94</v>
      </c>
      <c r="D76" s="37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 spans="1:37" s="1" customFormat="1" x14ac:dyDescent="0.3">
      <c r="A77" s="113" t="str">
        <f t="shared" ref="A77:A78" si="2">F4</f>
        <v>PVC</v>
      </c>
      <c r="B77" s="36">
        <v>115</v>
      </c>
      <c r="C77" s="9">
        <v>76</v>
      </c>
      <c r="D77" s="37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 spans="1:37" s="1" customFormat="1" ht="15" thickBot="1" x14ac:dyDescent="0.35">
      <c r="A78" s="114">
        <f t="shared" si="2"/>
        <v>0</v>
      </c>
      <c r="B78" s="38">
        <v>143</v>
      </c>
      <c r="C78" s="24">
        <v>94</v>
      </c>
      <c r="D78" s="39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</row>
    <row r="79" spans="1:37" s="1" customFormat="1" ht="15" thickBot="1" x14ac:dyDescent="0.3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</row>
    <row r="80" spans="1:37" s="1" customFormat="1" ht="15" thickBot="1" x14ac:dyDescent="0.35">
      <c r="A80" s="142" t="s">
        <v>80</v>
      </c>
      <c r="B80" s="14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</row>
    <row r="81" spans="1:37" s="1" customFormat="1" ht="15" thickBot="1" x14ac:dyDescent="0.35">
      <c r="A81" s="120" t="s">
        <v>74</v>
      </c>
      <c r="B81" s="121" t="s">
        <v>75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 spans="1:37" s="1" customFormat="1" x14ac:dyDescent="0.3">
      <c r="A82" s="107" t="s">
        <v>79</v>
      </c>
      <c r="B82" s="122">
        <v>2.5</v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</row>
    <row r="83" spans="1:37" s="1" customFormat="1" x14ac:dyDescent="0.3">
      <c r="A83" s="36" t="s">
        <v>78</v>
      </c>
      <c r="B83" s="37">
        <v>3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</row>
    <row r="84" spans="1:37" s="1" customFormat="1" x14ac:dyDescent="0.3">
      <c r="A84" s="36" t="s">
        <v>76</v>
      </c>
      <c r="B84" s="37">
        <v>4</v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</row>
    <row r="85" spans="1:37" s="1" customFormat="1" ht="15" thickBot="1" x14ac:dyDescent="0.35">
      <c r="A85" s="38" t="s">
        <v>77</v>
      </c>
      <c r="B85" s="39">
        <v>4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 spans="1:37" s="1" customFormat="1" ht="15" thickBot="1" x14ac:dyDescent="0.3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</row>
    <row r="87" spans="1:37" s="1" customFormat="1" ht="15" thickBot="1" x14ac:dyDescent="0.35">
      <c r="A87" s="155" t="s">
        <v>85</v>
      </c>
      <c r="B87" s="156"/>
      <c r="C87" s="156"/>
      <c r="D87" s="157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</row>
    <row r="88" spans="1:37" s="1" customFormat="1" x14ac:dyDescent="0.3">
      <c r="A88" s="153" t="s">
        <v>81</v>
      </c>
      <c r="B88" s="154"/>
      <c r="C88" s="153" t="s">
        <v>82</v>
      </c>
      <c r="D88" s="154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</row>
    <row r="89" spans="1:37" s="1" customFormat="1" x14ac:dyDescent="0.3">
      <c r="A89" s="65" t="s">
        <v>83</v>
      </c>
      <c r="B89" s="66" t="s">
        <v>84</v>
      </c>
      <c r="C89" s="65" t="s">
        <v>83</v>
      </c>
      <c r="D89" s="66" t="s">
        <v>84</v>
      </c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</row>
    <row r="90" spans="1:37" s="1" customFormat="1" x14ac:dyDescent="0.3">
      <c r="A90" s="36" t="s">
        <v>92</v>
      </c>
      <c r="B90" s="30">
        <f>PI()*12.5^2/4</f>
        <v>122.7184630308513</v>
      </c>
      <c r="C90" s="36" t="s">
        <v>177</v>
      </c>
      <c r="D90" s="37">
        <v>0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</row>
    <row r="91" spans="1:37" s="1" customFormat="1" x14ac:dyDescent="0.3">
      <c r="A91" s="36" t="s">
        <v>93</v>
      </c>
      <c r="B91" s="30">
        <f>PI()*16^2/4</f>
        <v>201.06192982974676</v>
      </c>
      <c r="C91" s="36" t="s">
        <v>137</v>
      </c>
      <c r="D91" s="37">
        <v>2910</v>
      </c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</row>
    <row r="92" spans="1:37" s="1" customFormat="1" x14ac:dyDescent="0.3">
      <c r="A92" s="36" t="s">
        <v>94</v>
      </c>
      <c r="B92" s="30">
        <f>PI()*20^2/4</f>
        <v>314.15926535897933</v>
      </c>
      <c r="C92" s="36" t="s">
        <v>138</v>
      </c>
      <c r="D92" s="37">
        <v>4349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</row>
    <row r="93" spans="1:37" s="1" customFormat="1" x14ac:dyDescent="0.3">
      <c r="A93" s="36" t="s">
        <v>95</v>
      </c>
      <c r="B93" s="30">
        <f>PI()*27^2/4</f>
        <v>572.55526111673976</v>
      </c>
      <c r="C93" s="36" t="s">
        <v>139</v>
      </c>
      <c r="D93" s="37">
        <v>7132</v>
      </c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</row>
    <row r="94" spans="1:37" s="1" customFormat="1" x14ac:dyDescent="0.3">
      <c r="A94" s="36" t="s">
        <v>96</v>
      </c>
      <c r="B94" s="30">
        <f>PI()*30^2/4</f>
        <v>706.85834705770344</v>
      </c>
      <c r="C94" s="36" t="s">
        <v>140</v>
      </c>
      <c r="D94" s="37">
        <v>9900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</row>
    <row r="95" spans="1:37" s="1" customFormat="1" x14ac:dyDescent="0.3">
      <c r="A95" s="36" t="s">
        <v>97</v>
      </c>
      <c r="B95" s="30">
        <f>PI()*37^2/4</f>
        <v>1075.2100856911068</v>
      </c>
      <c r="C95" s="36" t="s">
        <v>141</v>
      </c>
      <c r="D95" s="37">
        <v>16077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</row>
    <row r="96" spans="1:37" s="1" customFormat="1" x14ac:dyDescent="0.3">
      <c r="A96" s="36" t="s">
        <v>98</v>
      </c>
      <c r="B96" s="30">
        <f>PI()*47^2/4</f>
        <v>1734.9445429449634</v>
      </c>
      <c r="C96" s="36" t="s">
        <v>142</v>
      </c>
      <c r="D96" s="37">
        <v>25231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</row>
    <row r="97" spans="1:73" s="1" customFormat="1" x14ac:dyDescent="0.3">
      <c r="A97" s="36" t="s">
        <v>99</v>
      </c>
      <c r="B97" s="30">
        <f>PI()*58.5^2/4</f>
        <v>2687.8288646869173</v>
      </c>
      <c r="C97" s="36" t="s">
        <v>143</v>
      </c>
      <c r="D97" s="37">
        <v>34506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</row>
    <row r="98" spans="1:73" s="1" customFormat="1" x14ac:dyDescent="0.3">
      <c r="A98" s="36" t="s">
        <v>100</v>
      </c>
      <c r="B98" s="30">
        <f>PI()*74^2/4</f>
        <v>4300.8403427644271</v>
      </c>
      <c r="C98" s="36" t="s">
        <v>144</v>
      </c>
      <c r="D98" s="37">
        <v>44064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 spans="1:73" s="1" customFormat="1" x14ac:dyDescent="0.3">
      <c r="A99" s="36" t="s">
        <v>101</v>
      </c>
      <c r="B99" s="30">
        <f>PI()*94^2/4</f>
        <v>6939.7781717798534</v>
      </c>
      <c r="C99" s="36" t="s">
        <v>145</v>
      </c>
      <c r="D99" s="37">
        <v>53492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</row>
    <row r="100" spans="1:73" s="1" customFormat="1" x14ac:dyDescent="0.3">
      <c r="A100" s="36" t="s">
        <v>102</v>
      </c>
      <c r="B100" s="30">
        <f>PI()*108^2/4</f>
        <v>9160.8841778678361</v>
      </c>
      <c r="C100" s="36" t="s">
        <v>192</v>
      </c>
      <c r="D100" s="127">
        <f>150*600*0.9</f>
        <v>81000</v>
      </c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</row>
    <row r="101" spans="1:73" s="1" customFormat="1" x14ac:dyDescent="0.3">
      <c r="A101" s="36" t="s">
        <v>103</v>
      </c>
      <c r="B101" s="30">
        <f>PI()*134^2/4</f>
        <v>14102.609421964582</v>
      </c>
      <c r="C101" s="36" t="s">
        <v>193</v>
      </c>
      <c r="D101" s="127">
        <f>200*600*0.9</f>
        <v>108000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</row>
    <row r="102" spans="1:73" s="1" customFormat="1" x14ac:dyDescent="0.3">
      <c r="A102" s="36" t="s">
        <v>104</v>
      </c>
      <c r="B102" s="30">
        <f>PI()*174^2/4</f>
        <v>23778.714795021144</v>
      </c>
      <c r="C102" s="36"/>
      <c r="D102" s="37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</row>
    <row r="103" spans="1:73" s="1" customFormat="1" x14ac:dyDescent="0.3">
      <c r="A103" s="36" t="s">
        <v>105</v>
      </c>
      <c r="B103" s="30">
        <f>PI()*222^2/4</f>
        <v>38707.563084879839</v>
      </c>
      <c r="C103" s="36"/>
      <c r="D103" s="108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</row>
    <row r="104" spans="1:73" s="1" customFormat="1" x14ac:dyDescent="0.3">
      <c r="A104" s="36" t="s">
        <v>106</v>
      </c>
      <c r="B104" s="30">
        <f>PI()*272^2/4</f>
        <v>58106.897720796813</v>
      </c>
      <c r="C104" s="36"/>
      <c r="D104" s="108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2"/>
      <c r="X104" s="2"/>
      <c r="Y104" s="2"/>
      <c r="Z104" s="3"/>
      <c r="AA104" s="2"/>
      <c r="AB104" s="3"/>
      <c r="AC104" s="3"/>
      <c r="AD104" s="3"/>
      <c r="AE104" s="3"/>
      <c r="AF104" s="3"/>
      <c r="AG104" s="3"/>
      <c r="AH104" s="3"/>
      <c r="AI104" s="3"/>
      <c r="AJ104" s="3"/>
      <c r="AK104" s="3"/>
    </row>
    <row r="105" spans="1:73" s="1" customFormat="1" ht="15" thickBot="1" x14ac:dyDescent="0.35">
      <c r="A105" s="38" t="s">
        <v>170</v>
      </c>
      <c r="B105" s="105">
        <f>PI()*362.5^2/4</f>
        <v>103206.22740894594</v>
      </c>
      <c r="C105" s="38"/>
      <c r="D105" s="109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2"/>
      <c r="X105" s="2"/>
      <c r="Y105" s="2"/>
      <c r="Z105" s="3"/>
      <c r="AA105" s="2"/>
      <c r="AB105" s="3"/>
      <c r="AC105" s="3"/>
      <c r="AD105" s="3"/>
      <c r="AE105" s="3"/>
      <c r="AF105" s="3"/>
      <c r="AG105" s="3"/>
      <c r="AH105" s="3"/>
      <c r="AI105" s="3"/>
      <c r="AJ105" s="3"/>
      <c r="AK105" s="3"/>
    </row>
    <row r="106" spans="1:73" s="1" customFormat="1" ht="15" thickBot="1" x14ac:dyDescent="0.3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2"/>
      <c r="X106" s="2"/>
      <c r="Y106" s="2"/>
      <c r="Z106" s="3"/>
      <c r="AA106" s="2"/>
      <c r="AB106" s="3"/>
      <c r="AC106" s="3"/>
      <c r="AD106" s="3"/>
      <c r="AE106" s="3"/>
      <c r="AF106" s="3"/>
      <c r="AG106" s="3"/>
      <c r="AH106" s="3"/>
      <c r="AI106" s="3"/>
      <c r="AJ106" s="3"/>
      <c r="AK106" s="3"/>
    </row>
    <row r="107" spans="1:73" s="1" customFormat="1" x14ac:dyDescent="0.3">
      <c r="A107" s="42" t="s">
        <v>167</v>
      </c>
      <c r="B107" s="58">
        <v>2</v>
      </c>
      <c r="C107" s="59">
        <v>3</v>
      </c>
      <c r="D107" s="59">
        <v>3</v>
      </c>
      <c r="E107" s="59">
        <v>4</v>
      </c>
      <c r="F107" s="59">
        <v>4</v>
      </c>
      <c r="G107" s="59" t="s">
        <v>155</v>
      </c>
      <c r="H107" s="59" t="s">
        <v>155</v>
      </c>
      <c r="I107" s="59" t="s">
        <v>156</v>
      </c>
      <c r="J107" s="59" t="s">
        <v>157</v>
      </c>
      <c r="K107" s="59" t="s">
        <v>157</v>
      </c>
      <c r="L107" s="59" t="s">
        <v>158</v>
      </c>
      <c r="M107" s="59" t="s">
        <v>158</v>
      </c>
      <c r="N107" s="59" t="s">
        <v>159</v>
      </c>
      <c r="O107" s="59" t="s">
        <v>160</v>
      </c>
      <c r="P107" s="59" t="s">
        <v>160</v>
      </c>
      <c r="Q107" s="59" t="s">
        <v>161</v>
      </c>
      <c r="R107" s="59" t="s">
        <v>161</v>
      </c>
      <c r="S107" s="59" t="s">
        <v>162</v>
      </c>
      <c r="T107" s="59" t="s">
        <v>162</v>
      </c>
      <c r="U107" s="59" t="s">
        <v>163</v>
      </c>
      <c r="V107" s="59" t="s">
        <v>164</v>
      </c>
      <c r="W107" s="59" t="s">
        <v>165</v>
      </c>
      <c r="X107" s="59" t="s">
        <v>166</v>
      </c>
      <c r="Y107" s="59" t="s">
        <v>166</v>
      </c>
      <c r="Z107" s="59">
        <v>11</v>
      </c>
      <c r="AA107" s="59">
        <v>11</v>
      </c>
      <c r="AB107" s="59">
        <v>12</v>
      </c>
      <c r="AC107" s="60">
        <v>13</v>
      </c>
      <c r="AD107" s="58">
        <v>2</v>
      </c>
      <c r="AE107" s="59">
        <v>3</v>
      </c>
      <c r="AF107" s="59">
        <v>3</v>
      </c>
      <c r="AG107" s="59">
        <v>4</v>
      </c>
      <c r="AH107" s="59">
        <v>4</v>
      </c>
      <c r="AI107" s="59" t="s">
        <v>155</v>
      </c>
      <c r="AJ107" s="59" t="s">
        <v>155</v>
      </c>
      <c r="AK107" s="59" t="s">
        <v>156</v>
      </c>
      <c r="AL107" s="59" t="s">
        <v>157</v>
      </c>
      <c r="AM107" s="59" t="s">
        <v>157</v>
      </c>
      <c r="AN107" s="59" t="s">
        <v>158</v>
      </c>
      <c r="AO107" s="59" t="s">
        <v>158</v>
      </c>
      <c r="AP107" s="59" t="s">
        <v>159</v>
      </c>
      <c r="AQ107" s="59" t="s">
        <v>160</v>
      </c>
      <c r="AR107" s="59" t="s">
        <v>160</v>
      </c>
      <c r="AS107" s="59" t="s">
        <v>161</v>
      </c>
      <c r="AT107" s="59" t="s">
        <v>161</v>
      </c>
      <c r="AU107" s="59" t="s">
        <v>162</v>
      </c>
      <c r="AV107" s="59" t="s">
        <v>162</v>
      </c>
      <c r="AW107" s="59" t="s">
        <v>163</v>
      </c>
      <c r="AX107" s="59" t="s">
        <v>164</v>
      </c>
      <c r="AY107" s="59" t="s">
        <v>165</v>
      </c>
      <c r="AZ107" s="59" t="s">
        <v>166</v>
      </c>
      <c r="BA107" s="59" t="s">
        <v>166</v>
      </c>
      <c r="BB107" s="59">
        <v>11</v>
      </c>
      <c r="BC107" s="59">
        <v>11</v>
      </c>
      <c r="BD107" s="59">
        <v>12</v>
      </c>
      <c r="BE107" s="73">
        <v>13</v>
      </c>
      <c r="BF107" s="158"/>
      <c r="BG107" s="159"/>
      <c r="BH107" s="159"/>
      <c r="BI107" s="159"/>
      <c r="BJ107" s="159"/>
      <c r="BK107" s="159"/>
      <c r="BL107" s="159"/>
      <c r="BM107" s="160"/>
      <c r="BN107" s="158"/>
      <c r="BO107" s="159"/>
      <c r="BP107" s="159"/>
      <c r="BQ107" s="159"/>
      <c r="BR107" s="159"/>
      <c r="BS107" s="159"/>
      <c r="BT107" s="159"/>
      <c r="BU107" s="161"/>
    </row>
    <row r="108" spans="1:73" s="1" customFormat="1" x14ac:dyDescent="0.3">
      <c r="A108" s="62" t="s">
        <v>153</v>
      </c>
      <c r="B108" s="65" t="s">
        <v>148</v>
      </c>
      <c r="C108" s="8" t="s">
        <v>148</v>
      </c>
      <c r="D108" s="8" t="s">
        <v>152</v>
      </c>
      <c r="E108" s="8" t="s">
        <v>152</v>
      </c>
      <c r="F108" s="8" t="s">
        <v>148</v>
      </c>
      <c r="G108" s="8" t="s">
        <v>148</v>
      </c>
      <c r="H108" s="8" t="s">
        <v>152</v>
      </c>
      <c r="I108" s="8" t="s">
        <v>148</v>
      </c>
      <c r="J108" s="8" t="s">
        <v>152</v>
      </c>
      <c r="K108" s="8" t="s">
        <v>148</v>
      </c>
      <c r="L108" s="8" t="s">
        <v>148</v>
      </c>
      <c r="M108" s="8" t="s">
        <v>152</v>
      </c>
      <c r="N108" s="8" t="s">
        <v>148</v>
      </c>
      <c r="O108" s="8" t="s">
        <v>152</v>
      </c>
      <c r="P108" s="8" t="s">
        <v>148</v>
      </c>
      <c r="Q108" s="8" t="s">
        <v>152</v>
      </c>
      <c r="R108" s="8" t="s">
        <v>148</v>
      </c>
      <c r="S108" s="8" t="s">
        <v>148</v>
      </c>
      <c r="T108" s="8" t="s">
        <v>152</v>
      </c>
      <c r="U108" s="8" t="s">
        <v>152</v>
      </c>
      <c r="V108" s="8" t="s">
        <v>148</v>
      </c>
      <c r="W108" s="8" t="s">
        <v>152</v>
      </c>
      <c r="X108" s="8" t="s">
        <v>152</v>
      </c>
      <c r="Y108" s="8" t="s">
        <v>148</v>
      </c>
      <c r="Z108" s="8" t="s">
        <v>152</v>
      </c>
      <c r="AA108" s="8" t="s">
        <v>148</v>
      </c>
      <c r="AB108" s="8" t="s">
        <v>152</v>
      </c>
      <c r="AC108" s="66" t="s">
        <v>152</v>
      </c>
      <c r="AD108" s="65" t="s">
        <v>148</v>
      </c>
      <c r="AE108" s="8" t="s">
        <v>148</v>
      </c>
      <c r="AF108" s="8" t="s">
        <v>152</v>
      </c>
      <c r="AG108" s="8" t="s">
        <v>152</v>
      </c>
      <c r="AH108" s="8" t="s">
        <v>148</v>
      </c>
      <c r="AI108" s="8" t="s">
        <v>148</v>
      </c>
      <c r="AJ108" s="8" t="s">
        <v>152</v>
      </c>
      <c r="AK108" s="8" t="s">
        <v>148</v>
      </c>
      <c r="AL108" s="8" t="s">
        <v>152</v>
      </c>
      <c r="AM108" s="8" t="s">
        <v>148</v>
      </c>
      <c r="AN108" s="8" t="s">
        <v>148</v>
      </c>
      <c r="AO108" s="8" t="s">
        <v>152</v>
      </c>
      <c r="AP108" s="8" t="s">
        <v>148</v>
      </c>
      <c r="AQ108" s="8" t="s">
        <v>152</v>
      </c>
      <c r="AR108" s="8" t="s">
        <v>148</v>
      </c>
      <c r="AS108" s="8" t="s">
        <v>152</v>
      </c>
      <c r="AT108" s="8" t="s">
        <v>148</v>
      </c>
      <c r="AU108" s="8" t="s">
        <v>148</v>
      </c>
      <c r="AV108" s="8" t="s">
        <v>152</v>
      </c>
      <c r="AW108" s="8" t="s">
        <v>152</v>
      </c>
      <c r="AX108" s="8" t="s">
        <v>148</v>
      </c>
      <c r="AY108" s="8" t="s">
        <v>152</v>
      </c>
      <c r="AZ108" s="8" t="s">
        <v>152</v>
      </c>
      <c r="BA108" s="8" t="s">
        <v>148</v>
      </c>
      <c r="BB108" s="8" t="s">
        <v>152</v>
      </c>
      <c r="BC108" s="8" t="s">
        <v>148</v>
      </c>
      <c r="BD108" s="8" t="s">
        <v>152</v>
      </c>
      <c r="BE108" s="26" t="s">
        <v>152</v>
      </c>
      <c r="BF108" s="75" t="s">
        <v>152</v>
      </c>
      <c r="BG108" s="74" t="s">
        <v>148</v>
      </c>
      <c r="BH108" s="74" t="s">
        <v>152</v>
      </c>
      <c r="BI108" s="74" t="s">
        <v>148</v>
      </c>
      <c r="BJ108" s="74" t="s">
        <v>152</v>
      </c>
      <c r="BK108" s="74" t="s">
        <v>148</v>
      </c>
      <c r="BL108" s="74" t="s">
        <v>152</v>
      </c>
      <c r="BM108" s="87" t="s">
        <v>148</v>
      </c>
      <c r="BN108" s="75" t="s">
        <v>152</v>
      </c>
      <c r="BO108" s="74" t="s">
        <v>148</v>
      </c>
      <c r="BP108" s="74" t="s">
        <v>152</v>
      </c>
      <c r="BQ108" s="74" t="s">
        <v>148</v>
      </c>
      <c r="BR108" s="74" t="s">
        <v>152</v>
      </c>
      <c r="BS108" s="74" t="s">
        <v>148</v>
      </c>
      <c r="BT108" s="74" t="s">
        <v>152</v>
      </c>
      <c r="BU108" s="76" t="s">
        <v>148</v>
      </c>
    </row>
    <row r="109" spans="1:73" s="1" customFormat="1" x14ac:dyDescent="0.3">
      <c r="A109" s="62" t="s">
        <v>74</v>
      </c>
      <c r="B109" s="65" t="s">
        <v>36</v>
      </c>
      <c r="C109" s="8" t="s">
        <v>35</v>
      </c>
      <c r="D109" s="8" t="s">
        <v>36</v>
      </c>
      <c r="E109" s="8" t="s">
        <v>35</v>
      </c>
      <c r="F109" s="8" t="s">
        <v>38</v>
      </c>
      <c r="G109" s="8" t="s">
        <v>37</v>
      </c>
      <c r="H109" s="8" t="s">
        <v>38</v>
      </c>
      <c r="I109" s="8" t="s">
        <v>36</v>
      </c>
      <c r="J109" s="8" t="s">
        <v>37</v>
      </c>
      <c r="K109" s="8" t="s">
        <v>39</v>
      </c>
      <c r="L109" s="8" t="s">
        <v>35</v>
      </c>
      <c r="M109" s="8" t="s">
        <v>36</v>
      </c>
      <c r="N109" s="8" t="s">
        <v>42</v>
      </c>
      <c r="O109" s="8" t="s">
        <v>35</v>
      </c>
      <c r="P109" s="8" t="s">
        <v>38</v>
      </c>
      <c r="Q109" s="8" t="s">
        <v>39</v>
      </c>
      <c r="R109" s="8" t="s">
        <v>43</v>
      </c>
      <c r="S109" s="8" t="s">
        <v>37</v>
      </c>
      <c r="T109" s="8" t="s">
        <v>38</v>
      </c>
      <c r="U109" s="8" t="s">
        <v>42</v>
      </c>
      <c r="V109" s="8" t="s">
        <v>39</v>
      </c>
      <c r="W109" s="8" t="s">
        <v>43</v>
      </c>
      <c r="X109" s="8" t="s">
        <v>37</v>
      </c>
      <c r="Y109" s="8" t="s">
        <v>42</v>
      </c>
      <c r="Z109" s="8" t="s">
        <v>39</v>
      </c>
      <c r="AA109" s="8" t="s">
        <v>43</v>
      </c>
      <c r="AB109" s="8" t="s">
        <v>42</v>
      </c>
      <c r="AC109" s="66" t="s">
        <v>43</v>
      </c>
      <c r="AD109" s="65" t="s">
        <v>36</v>
      </c>
      <c r="AE109" s="8" t="s">
        <v>35</v>
      </c>
      <c r="AF109" s="8" t="s">
        <v>36</v>
      </c>
      <c r="AG109" s="8" t="s">
        <v>35</v>
      </c>
      <c r="AH109" s="8" t="s">
        <v>38</v>
      </c>
      <c r="AI109" s="8" t="s">
        <v>37</v>
      </c>
      <c r="AJ109" s="8" t="s">
        <v>38</v>
      </c>
      <c r="AK109" s="8" t="s">
        <v>36</v>
      </c>
      <c r="AL109" s="8" t="s">
        <v>37</v>
      </c>
      <c r="AM109" s="8" t="s">
        <v>39</v>
      </c>
      <c r="AN109" s="8" t="s">
        <v>35</v>
      </c>
      <c r="AO109" s="8" t="s">
        <v>36</v>
      </c>
      <c r="AP109" s="8" t="s">
        <v>42</v>
      </c>
      <c r="AQ109" s="8" t="s">
        <v>35</v>
      </c>
      <c r="AR109" s="8" t="s">
        <v>38</v>
      </c>
      <c r="AS109" s="8" t="s">
        <v>39</v>
      </c>
      <c r="AT109" s="8" t="s">
        <v>43</v>
      </c>
      <c r="AU109" s="8" t="s">
        <v>37</v>
      </c>
      <c r="AV109" s="8" t="s">
        <v>38</v>
      </c>
      <c r="AW109" s="8" t="s">
        <v>42</v>
      </c>
      <c r="AX109" s="8" t="s">
        <v>39</v>
      </c>
      <c r="AY109" s="8" t="s">
        <v>43</v>
      </c>
      <c r="AZ109" s="8" t="s">
        <v>37</v>
      </c>
      <c r="BA109" s="8" t="s">
        <v>42</v>
      </c>
      <c r="BB109" s="8" t="s">
        <v>39</v>
      </c>
      <c r="BC109" s="8" t="s">
        <v>43</v>
      </c>
      <c r="BD109" s="8" t="s">
        <v>42</v>
      </c>
      <c r="BE109" s="26" t="s">
        <v>43</v>
      </c>
      <c r="BF109" s="75" t="s">
        <v>40</v>
      </c>
      <c r="BG109" s="74" t="s">
        <v>40</v>
      </c>
      <c r="BH109" s="74" t="s">
        <v>40</v>
      </c>
      <c r="BI109" s="74" t="s">
        <v>40</v>
      </c>
      <c r="BJ109" s="74" t="s">
        <v>40</v>
      </c>
      <c r="BK109" s="74" t="s">
        <v>40</v>
      </c>
      <c r="BL109" s="74" t="s">
        <v>40</v>
      </c>
      <c r="BM109" s="87" t="s">
        <v>40</v>
      </c>
      <c r="BN109" s="75" t="s">
        <v>41</v>
      </c>
      <c r="BO109" s="74" t="s">
        <v>41</v>
      </c>
      <c r="BP109" s="74" t="s">
        <v>41</v>
      </c>
      <c r="BQ109" s="74" t="s">
        <v>41</v>
      </c>
      <c r="BR109" s="74" t="s">
        <v>40</v>
      </c>
      <c r="BS109" s="74" t="s">
        <v>40</v>
      </c>
      <c r="BT109" s="74" t="s">
        <v>41</v>
      </c>
      <c r="BU109" s="76" t="s">
        <v>41</v>
      </c>
    </row>
    <row r="110" spans="1:73" s="1" customFormat="1" x14ac:dyDescent="0.3">
      <c r="A110" s="62" t="s">
        <v>87</v>
      </c>
      <c r="B110" s="65" t="s">
        <v>14</v>
      </c>
      <c r="C110" s="8" t="s">
        <v>14</v>
      </c>
      <c r="D110" s="8" t="s">
        <v>14</v>
      </c>
      <c r="E110" s="8" t="s">
        <v>14</v>
      </c>
      <c r="F110" s="8" t="s">
        <v>14</v>
      </c>
      <c r="G110" s="8" t="s">
        <v>14</v>
      </c>
      <c r="H110" s="8" t="s">
        <v>14</v>
      </c>
      <c r="I110" s="8" t="s">
        <v>13</v>
      </c>
      <c r="J110" s="8" t="s">
        <v>14</v>
      </c>
      <c r="K110" s="8" t="s">
        <v>14</v>
      </c>
      <c r="L110" s="8" t="s">
        <v>13</v>
      </c>
      <c r="M110" s="8" t="s">
        <v>13</v>
      </c>
      <c r="N110" s="8" t="s">
        <v>14</v>
      </c>
      <c r="O110" s="8" t="s">
        <v>13</v>
      </c>
      <c r="P110" s="8" t="s">
        <v>13</v>
      </c>
      <c r="Q110" s="8" t="s">
        <v>14</v>
      </c>
      <c r="R110" s="8" t="s">
        <v>14</v>
      </c>
      <c r="S110" s="8" t="s">
        <v>13</v>
      </c>
      <c r="T110" s="8" t="s">
        <v>13</v>
      </c>
      <c r="U110" s="8" t="s">
        <v>14</v>
      </c>
      <c r="V110" s="8" t="s">
        <v>13</v>
      </c>
      <c r="W110" s="8" t="s">
        <v>14</v>
      </c>
      <c r="X110" s="8" t="s">
        <v>13</v>
      </c>
      <c r="Y110" s="8" t="s">
        <v>13</v>
      </c>
      <c r="Z110" s="8" t="s">
        <v>13</v>
      </c>
      <c r="AA110" s="8" t="s">
        <v>13</v>
      </c>
      <c r="AB110" s="8" t="s">
        <v>13</v>
      </c>
      <c r="AC110" s="66" t="s">
        <v>13</v>
      </c>
      <c r="AD110" s="65" t="s">
        <v>14</v>
      </c>
      <c r="AE110" s="8" t="s">
        <v>14</v>
      </c>
      <c r="AF110" s="8" t="s">
        <v>14</v>
      </c>
      <c r="AG110" s="8" t="s">
        <v>14</v>
      </c>
      <c r="AH110" s="8" t="s">
        <v>14</v>
      </c>
      <c r="AI110" s="8" t="s">
        <v>14</v>
      </c>
      <c r="AJ110" s="8" t="s">
        <v>14</v>
      </c>
      <c r="AK110" s="8" t="s">
        <v>13</v>
      </c>
      <c r="AL110" s="8" t="s">
        <v>14</v>
      </c>
      <c r="AM110" s="8" t="s">
        <v>14</v>
      </c>
      <c r="AN110" s="8" t="s">
        <v>13</v>
      </c>
      <c r="AO110" s="8" t="s">
        <v>13</v>
      </c>
      <c r="AP110" s="8" t="s">
        <v>14</v>
      </c>
      <c r="AQ110" s="8" t="s">
        <v>13</v>
      </c>
      <c r="AR110" s="8" t="s">
        <v>13</v>
      </c>
      <c r="AS110" s="8" t="s">
        <v>14</v>
      </c>
      <c r="AT110" s="8" t="s">
        <v>14</v>
      </c>
      <c r="AU110" s="8" t="s">
        <v>13</v>
      </c>
      <c r="AV110" s="8" t="s">
        <v>13</v>
      </c>
      <c r="AW110" s="8" t="s">
        <v>14</v>
      </c>
      <c r="AX110" s="8" t="s">
        <v>13</v>
      </c>
      <c r="AY110" s="8" t="s">
        <v>14</v>
      </c>
      <c r="AZ110" s="8" t="s">
        <v>13</v>
      </c>
      <c r="BA110" s="8" t="s">
        <v>13</v>
      </c>
      <c r="BB110" s="8" t="s">
        <v>13</v>
      </c>
      <c r="BC110" s="8" t="s">
        <v>13</v>
      </c>
      <c r="BD110" s="8" t="s">
        <v>13</v>
      </c>
      <c r="BE110" s="26" t="s">
        <v>13</v>
      </c>
      <c r="BF110" s="75" t="s">
        <v>14</v>
      </c>
      <c r="BG110" s="74" t="s">
        <v>14</v>
      </c>
      <c r="BH110" s="74" t="s">
        <v>13</v>
      </c>
      <c r="BI110" s="74" t="s">
        <v>13</v>
      </c>
      <c r="BJ110" s="74" t="s">
        <v>14</v>
      </c>
      <c r="BK110" s="74" t="s">
        <v>14</v>
      </c>
      <c r="BL110" s="74" t="s">
        <v>13</v>
      </c>
      <c r="BM110" s="87" t="s">
        <v>13</v>
      </c>
      <c r="BN110" s="75" t="s">
        <v>14</v>
      </c>
      <c r="BO110" s="74" t="s">
        <v>14</v>
      </c>
      <c r="BP110" s="74" t="s">
        <v>13</v>
      </c>
      <c r="BQ110" s="74" t="s">
        <v>13</v>
      </c>
      <c r="BR110" s="74" t="s">
        <v>14</v>
      </c>
      <c r="BS110" s="74" t="s">
        <v>14</v>
      </c>
      <c r="BT110" s="74" t="s">
        <v>13</v>
      </c>
      <c r="BU110" s="76" t="s">
        <v>13</v>
      </c>
    </row>
    <row r="111" spans="1:73" s="1" customFormat="1" x14ac:dyDescent="0.3">
      <c r="A111" s="62" t="s">
        <v>88</v>
      </c>
      <c r="B111" s="65" t="s">
        <v>15</v>
      </c>
      <c r="C111" s="8" t="s">
        <v>15</v>
      </c>
      <c r="D111" s="8" t="s">
        <v>15</v>
      </c>
      <c r="E111" s="8" t="s">
        <v>15</v>
      </c>
      <c r="F111" s="8" t="s">
        <v>15</v>
      </c>
      <c r="G111" s="8" t="s">
        <v>15</v>
      </c>
      <c r="H111" s="8" t="s">
        <v>15</v>
      </c>
      <c r="I111" s="8" t="s">
        <v>15</v>
      </c>
      <c r="J111" s="8" t="s">
        <v>15</v>
      </c>
      <c r="K111" s="8" t="s">
        <v>15</v>
      </c>
      <c r="L111" s="8" t="s">
        <v>15</v>
      </c>
      <c r="M111" s="8" t="s">
        <v>15</v>
      </c>
      <c r="N111" s="8" t="s">
        <v>15</v>
      </c>
      <c r="O111" s="8" t="s">
        <v>15</v>
      </c>
      <c r="P111" s="8" t="s">
        <v>15</v>
      </c>
      <c r="Q111" s="8" t="s">
        <v>15</v>
      </c>
      <c r="R111" s="8" t="s">
        <v>15</v>
      </c>
      <c r="S111" s="8" t="s">
        <v>15</v>
      </c>
      <c r="T111" s="8" t="s">
        <v>15</v>
      </c>
      <c r="U111" s="8" t="s">
        <v>15</v>
      </c>
      <c r="V111" s="8" t="s">
        <v>15</v>
      </c>
      <c r="W111" s="8" t="s">
        <v>15</v>
      </c>
      <c r="X111" s="8" t="s">
        <v>15</v>
      </c>
      <c r="Y111" s="8" t="s">
        <v>15</v>
      </c>
      <c r="Z111" s="8" t="s">
        <v>15</v>
      </c>
      <c r="AA111" s="8" t="s">
        <v>15</v>
      </c>
      <c r="AB111" s="8" t="s">
        <v>15</v>
      </c>
      <c r="AC111" s="66" t="s">
        <v>15</v>
      </c>
      <c r="AD111" s="65" t="s">
        <v>16</v>
      </c>
      <c r="AE111" s="8" t="s">
        <v>16</v>
      </c>
      <c r="AF111" s="8" t="s">
        <v>16</v>
      </c>
      <c r="AG111" s="8" t="s">
        <v>16</v>
      </c>
      <c r="AH111" s="8" t="s">
        <v>16</v>
      </c>
      <c r="AI111" s="8" t="s">
        <v>16</v>
      </c>
      <c r="AJ111" s="8" t="s">
        <v>16</v>
      </c>
      <c r="AK111" s="8" t="s">
        <v>16</v>
      </c>
      <c r="AL111" s="8" t="s">
        <v>16</v>
      </c>
      <c r="AM111" s="8" t="s">
        <v>16</v>
      </c>
      <c r="AN111" s="8" t="s">
        <v>16</v>
      </c>
      <c r="AO111" s="8" t="s">
        <v>16</v>
      </c>
      <c r="AP111" s="8" t="s">
        <v>16</v>
      </c>
      <c r="AQ111" s="8" t="s">
        <v>16</v>
      </c>
      <c r="AR111" s="8" t="s">
        <v>16</v>
      </c>
      <c r="AS111" s="8" t="s">
        <v>16</v>
      </c>
      <c r="AT111" s="8" t="s">
        <v>16</v>
      </c>
      <c r="AU111" s="8" t="s">
        <v>16</v>
      </c>
      <c r="AV111" s="8" t="s">
        <v>16</v>
      </c>
      <c r="AW111" s="8" t="s">
        <v>16</v>
      </c>
      <c r="AX111" s="8" t="s">
        <v>16</v>
      </c>
      <c r="AY111" s="8" t="s">
        <v>16</v>
      </c>
      <c r="AZ111" s="8" t="s">
        <v>16</v>
      </c>
      <c r="BA111" s="8" t="s">
        <v>16</v>
      </c>
      <c r="BB111" s="8" t="s">
        <v>16</v>
      </c>
      <c r="BC111" s="8" t="s">
        <v>16</v>
      </c>
      <c r="BD111" s="8" t="s">
        <v>16</v>
      </c>
      <c r="BE111" s="26" t="s">
        <v>16</v>
      </c>
      <c r="BF111" s="75" t="s">
        <v>15</v>
      </c>
      <c r="BG111" s="74" t="s">
        <v>15</v>
      </c>
      <c r="BH111" s="74" t="s">
        <v>15</v>
      </c>
      <c r="BI111" s="74" t="s">
        <v>15</v>
      </c>
      <c r="BJ111" s="74" t="s">
        <v>16</v>
      </c>
      <c r="BK111" s="74" t="s">
        <v>16</v>
      </c>
      <c r="BL111" s="74" t="s">
        <v>16</v>
      </c>
      <c r="BM111" s="87" t="s">
        <v>16</v>
      </c>
      <c r="BN111" s="75" t="s">
        <v>15</v>
      </c>
      <c r="BO111" s="74" t="s">
        <v>15</v>
      </c>
      <c r="BP111" s="74" t="s">
        <v>15</v>
      </c>
      <c r="BQ111" s="74" t="s">
        <v>15</v>
      </c>
      <c r="BR111" s="74" t="s">
        <v>16</v>
      </c>
      <c r="BS111" s="74" t="s">
        <v>16</v>
      </c>
      <c r="BT111" s="74" t="s">
        <v>16</v>
      </c>
      <c r="BU111" s="76" t="s">
        <v>16</v>
      </c>
    </row>
    <row r="112" spans="1:73" s="1" customFormat="1" x14ac:dyDescent="0.3">
      <c r="A112" s="62" t="s">
        <v>89</v>
      </c>
      <c r="B112" s="65" t="str">
        <f>B108&amp;B109&amp;B110&amp;B111</f>
        <v>TrifásicoA2PVCCobre</v>
      </c>
      <c r="C112" s="8" t="str">
        <f t="shared" ref="C112:BN112" si="3">C108&amp;C109&amp;C110&amp;C111</f>
        <v>TrifásicoA1PVCCobre</v>
      </c>
      <c r="D112" s="8" t="str">
        <f t="shared" si="3"/>
        <v>Monofásico / C.CA2PVCCobre</v>
      </c>
      <c r="E112" s="8" t="str">
        <f t="shared" si="3"/>
        <v>Monofásico / C.CA1PVCCobre</v>
      </c>
      <c r="F112" s="8" t="str">
        <f t="shared" si="3"/>
        <v>TrifásicoB2PVCCobre</v>
      </c>
      <c r="G112" s="8" t="str">
        <f t="shared" si="3"/>
        <v>TrifásicoB1PVCCobre</v>
      </c>
      <c r="H112" s="8" t="str">
        <f t="shared" si="3"/>
        <v>Monofásico / C.CB2PVCCobre</v>
      </c>
      <c r="I112" s="8" t="str">
        <f t="shared" si="3"/>
        <v>TrifásicoA2XLPECobre</v>
      </c>
      <c r="J112" s="8" t="str">
        <f t="shared" si="3"/>
        <v>Monofásico / C.CB1PVCCobre</v>
      </c>
      <c r="K112" s="8" t="str">
        <f t="shared" si="3"/>
        <v>TrifásicoCPVCCobre</v>
      </c>
      <c r="L112" s="8" t="str">
        <f t="shared" si="3"/>
        <v>TrifásicoA1XLPECobre</v>
      </c>
      <c r="M112" s="8" t="str">
        <f t="shared" si="3"/>
        <v>Monofásico / C.CA2XLPECobre</v>
      </c>
      <c r="N112" s="8" t="str">
        <f t="shared" si="3"/>
        <v>TrifásicoEPVCCobre</v>
      </c>
      <c r="O112" s="8" t="str">
        <f t="shared" si="3"/>
        <v>Monofásico / C.CA1XLPECobre</v>
      </c>
      <c r="P112" s="8" t="str">
        <f t="shared" si="3"/>
        <v>TrifásicoB2XLPECobre</v>
      </c>
      <c r="Q112" s="8" t="str">
        <f t="shared" si="3"/>
        <v>Monofásico / C.CCPVCCobre</v>
      </c>
      <c r="R112" s="8" t="str">
        <f t="shared" si="3"/>
        <v>TrifásicoFPVCCobre</v>
      </c>
      <c r="S112" s="8" t="str">
        <f t="shared" si="3"/>
        <v>TrifásicoB1XLPECobre</v>
      </c>
      <c r="T112" s="8" t="str">
        <f t="shared" si="3"/>
        <v>Monofásico / C.CB2XLPECobre</v>
      </c>
      <c r="U112" s="8" t="str">
        <f t="shared" si="3"/>
        <v>Monofásico / C.CEPVCCobre</v>
      </c>
      <c r="V112" s="8" t="str">
        <f t="shared" si="3"/>
        <v>TrifásicoCXLPECobre</v>
      </c>
      <c r="W112" s="8" t="str">
        <f t="shared" si="3"/>
        <v>Monofásico / C.CFPVCCobre</v>
      </c>
      <c r="X112" s="8" t="str">
        <f t="shared" si="3"/>
        <v>Monofásico / C.CB1XLPECobre</v>
      </c>
      <c r="Y112" s="8" t="str">
        <f t="shared" si="3"/>
        <v>TrifásicoEXLPECobre</v>
      </c>
      <c r="Z112" s="8" t="str">
        <f t="shared" si="3"/>
        <v>Monofásico / C.CCXLPECobre</v>
      </c>
      <c r="AA112" s="8" t="str">
        <f t="shared" si="3"/>
        <v>TrifásicoFXLPECobre</v>
      </c>
      <c r="AB112" s="8" t="str">
        <f t="shared" si="3"/>
        <v>Monofásico / C.CEXLPECobre</v>
      </c>
      <c r="AC112" s="66" t="str">
        <f t="shared" si="3"/>
        <v>Monofásico / C.CFXLPECobre</v>
      </c>
      <c r="AD112" s="65" t="str">
        <f t="shared" si="3"/>
        <v>TrifásicoA2PVCAluminio</v>
      </c>
      <c r="AE112" s="8" t="str">
        <f t="shared" si="3"/>
        <v>TrifásicoA1PVCAluminio</v>
      </c>
      <c r="AF112" s="8" t="str">
        <f t="shared" si="3"/>
        <v>Monofásico / C.CA2PVCAluminio</v>
      </c>
      <c r="AG112" s="8" t="str">
        <f t="shared" si="3"/>
        <v>Monofásico / C.CA1PVCAluminio</v>
      </c>
      <c r="AH112" s="8" t="str">
        <f t="shared" si="3"/>
        <v>TrifásicoB2PVCAluminio</v>
      </c>
      <c r="AI112" s="8" t="str">
        <f t="shared" si="3"/>
        <v>TrifásicoB1PVCAluminio</v>
      </c>
      <c r="AJ112" s="8" t="str">
        <f t="shared" si="3"/>
        <v>Monofásico / C.CB2PVCAluminio</v>
      </c>
      <c r="AK112" s="8" t="str">
        <f t="shared" si="3"/>
        <v>TrifásicoA2XLPEAluminio</v>
      </c>
      <c r="AL112" s="8" t="str">
        <f t="shared" si="3"/>
        <v>Monofásico / C.CB1PVCAluminio</v>
      </c>
      <c r="AM112" s="8" t="str">
        <f t="shared" si="3"/>
        <v>TrifásicoCPVCAluminio</v>
      </c>
      <c r="AN112" s="8" t="str">
        <f t="shared" si="3"/>
        <v>TrifásicoA1XLPEAluminio</v>
      </c>
      <c r="AO112" s="8" t="str">
        <f t="shared" si="3"/>
        <v>Monofásico / C.CA2XLPEAluminio</v>
      </c>
      <c r="AP112" s="8" t="str">
        <f t="shared" si="3"/>
        <v>TrifásicoEPVCAluminio</v>
      </c>
      <c r="AQ112" s="8" t="str">
        <f t="shared" si="3"/>
        <v>Monofásico / C.CA1XLPEAluminio</v>
      </c>
      <c r="AR112" s="8" t="str">
        <f t="shared" si="3"/>
        <v>TrifásicoB2XLPEAluminio</v>
      </c>
      <c r="AS112" s="8" t="str">
        <f t="shared" si="3"/>
        <v>Monofásico / C.CCPVCAluminio</v>
      </c>
      <c r="AT112" s="8" t="str">
        <f t="shared" si="3"/>
        <v>TrifásicoFPVCAluminio</v>
      </c>
      <c r="AU112" s="8" t="str">
        <f t="shared" si="3"/>
        <v>TrifásicoB1XLPEAluminio</v>
      </c>
      <c r="AV112" s="8" t="str">
        <f t="shared" si="3"/>
        <v>Monofásico / C.CB2XLPEAluminio</v>
      </c>
      <c r="AW112" s="8" t="str">
        <f t="shared" si="3"/>
        <v>Monofásico / C.CEPVCAluminio</v>
      </c>
      <c r="AX112" s="8" t="str">
        <f t="shared" si="3"/>
        <v>TrifásicoCXLPEAluminio</v>
      </c>
      <c r="AY112" s="8" t="str">
        <f t="shared" si="3"/>
        <v>Monofásico / C.CFPVCAluminio</v>
      </c>
      <c r="AZ112" s="8" t="str">
        <f t="shared" si="3"/>
        <v>Monofásico / C.CB1XLPEAluminio</v>
      </c>
      <c r="BA112" s="8" t="str">
        <f t="shared" si="3"/>
        <v>TrifásicoEXLPEAluminio</v>
      </c>
      <c r="BB112" s="8" t="str">
        <f t="shared" si="3"/>
        <v>Monofásico / C.CCXLPEAluminio</v>
      </c>
      <c r="BC112" s="8" t="str">
        <f t="shared" si="3"/>
        <v>TrifásicoFXLPEAluminio</v>
      </c>
      <c r="BD112" s="8" t="str">
        <f t="shared" si="3"/>
        <v>Monofásico / C.CEXLPEAluminio</v>
      </c>
      <c r="BE112" s="26" t="str">
        <f t="shared" si="3"/>
        <v>Monofásico / C.CFXLPEAluminio</v>
      </c>
      <c r="BF112" s="75" t="str">
        <f t="shared" si="3"/>
        <v>Monofásico / C.CD1PVCCobre</v>
      </c>
      <c r="BG112" s="74" t="str">
        <f t="shared" si="3"/>
        <v>TrifásicoD1PVCCobre</v>
      </c>
      <c r="BH112" s="74" t="str">
        <f t="shared" si="3"/>
        <v>Monofásico / C.CD1XLPECobre</v>
      </c>
      <c r="BI112" s="74" t="str">
        <f t="shared" si="3"/>
        <v>TrifásicoD1XLPECobre</v>
      </c>
      <c r="BJ112" s="74" t="str">
        <f t="shared" si="3"/>
        <v>Monofásico / C.CD1PVCAluminio</v>
      </c>
      <c r="BK112" s="74" t="str">
        <f t="shared" si="3"/>
        <v>TrifásicoD1PVCAluminio</v>
      </c>
      <c r="BL112" s="74" t="str">
        <f t="shared" si="3"/>
        <v>Monofásico / C.CD1XLPEAluminio</v>
      </c>
      <c r="BM112" s="87" t="str">
        <f t="shared" si="3"/>
        <v>TrifásicoD1XLPEAluminio</v>
      </c>
      <c r="BN112" s="75" t="str">
        <f t="shared" si="3"/>
        <v>Monofásico / C.CD2PVCCobre</v>
      </c>
      <c r="BO112" s="74" t="str">
        <f t="shared" ref="BO112:BU112" si="4">BO108&amp;BO109&amp;BO110&amp;BO111</f>
        <v>TrifásicoD2PVCCobre</v>
      </c>
      <c r="BP112" s="74" t="str">
        <f t="shared" si="4"/>
        <v>Monofásico / C.CD2XLPECobre</v>
      </c>
      <c r="BQ112" s="74" t="str">
        <f t="shared" si="4"/>
        <v>TrifásicoD2XLPECobre</v>
      </c>
      <c r="BR112" s="74" t="str">
        <f t="shared" si="4"/>
        <v>Monofásico / C.CD1PVCAluminio</v>
      </c>
      <c r="BS112" s="74" t="str">
        <f t="shared" si="4"/>
        <v>TrifásicoD1PVCAluminio</v>
      </c>
      <c r="BT112" s="74" t="str">
        <f t="shared" si="4"/>
        <v>Monofásico / C.CD2XLPEAluminio</v>
      </c>
      <c r="BU112" s="76" t="str">
        <f t="shared" si="4"/>
        <v>TrifásicoD2XLPEAluminio</v>
      </c>
    </row>
    <row r="113" spans="1:73" s="81" customFormat="1" x14ac:dyDescent="0.3">
      <c r="A113" s="63">
        <v>1.5</v>
      </c>
      <c r="B113" s="29">
        <v>11</v>
      </c>
      <c r="C113" s="15">
        <v>11.5</v>
      </c>
      <c r="D113" s="15">
        <v>11.5</v>
      </c>
      <c r="E113" s="15">
        <v>12.5</v>
      </c>
      <c r="F113" s="15">
        <v>12.5</v>
      </c>
      <c r="G113" s="15">
        <v>13.5</v>
      </c>
      <c r="H113" s="15">
        <v>13.5</v>
      </c>
      <c r="I113" s="15">
        <v>14</v>
      </c>
      <c r="J113" s="15">
        <v>14.5</v>
      </c>
      <c r="K113" s="15">
        <v>14.5</v>
      </c>
      <c r="L113" s="15">
        <v>15.5</v>
      </c>
      <c r="M113" s="15">
        <v>15.5</v>
      </c>
      <c r="N113" s="15">
        <v>16</v>
      </c>
      <c r="O113" s="15">
        <v>16.5</v>
      </c>
      <c r="P113" s="15">
        <v>16.5</v>
      </c>
      <c r="Q113" s="15">
        <v>17</v>
      </c>
      <c r="R113" s="15">
        <v>17</v>
      </c>
      <c r="S113" s="15">
        <v>17.5</v>
      </c>
      <c r="T113" s="15">
        <v>17.5</v>
      </c>
      <c r="U113" s="15">
        <v>19</v>
      </c>
      <c r="V113" s="15">
        <v>20</v>
      </c>
      <c r="W113" s="15">
        <v>20</v>
      </c>
      <c r="X113" s="15">
        <v>20</v>
      </c>
      <c r="Y113" s="15">
        <v>20</v>
      </c>
      <c r="Z113" s="15">
        <v>21</v>
      </c>
      <c r="AA113" s="15">
        <v>21</v>
      </c>
      <c r="AB113" s="15">
        <v>23</v>
      </c>
      <c r="AC113" s="31">
        <v>25</v>
      </c>
      <c r="AD113" s="67">
        <f t="shared" ref="AD113:BD113" si="5">ROUNDDOWN(B113/B114*AD114,0)</f>
        <v>8</v>
      </c>
      <c r="AE113" s="61">
        <f t="shared" si="5"/>
        <v>8</v>
      </c>
      <c r="AF113" s="61">
        <f t="shared" si="5"/>
        <v>8</v>
      </c>
      <c r="AG113" s="61">
        <f t="shared" si="5"/>
        <v>9</v>
      </c>
      <c r="AH113" s="61">
        <f t="shared" si="5"/>
        <v>9</v>
      </c>
      <c r="AI113" s="61">
        <f t="shared" si="5"/>
        <v>10</v>
      </c>
      <c r="AJ113" s="61">
        <f t="shared" si="5"/>
        <v>10</v>
      </c>
      <c r="AK113" s="61">
        <f t="shared" si="5"/>
        <v>11</v>
      </c>
      <c r="AL113" s="61">
        <f t="shared" si="5"/>
        <v>11</v>
      </c>
      <c r="AM113" s="61">
        <f t="shared" si="5"/>
        <v>11</v>
      </c>
      <c r="AN113" s="61">
        <f t="shared" si="5"/>
        <v>12</v>
      </c>
      <c r="AO113" s="61">
        <f t="shared" si="5"/>
        <v>12</v>
      </c>
      <c r="AP113" s="61">
        <f t="shared" si="5"/>
        <v>12</v>
      </c>
      <c r="AQ113" s="61">
        <f t="shared" si="5"/>
        <v>13</v>
      </c>
      <c r="AR113" s="61">
        <f t="shared" si="5"/>
        <v>13</v>
      </c>
      <c r="AS113" s="61">
        <f t="shared" si="5"/>
        <v>13</v>
      </c>
      <c r="AT113" s="61">
        <f t="shared" si="5"/>
        <v>13</v>
      </c>
      <c r="AU113" s="61">
        <f t="shared" si="5"/>
        <v>13</v>
      </c>
      <c r="AV113" s="61">
        <f t="shared" si="5"/>
        <v>13</v>
      </c>
      <c r="AW113" s="61">
        <f t="shared" si="5"/>
        <v>14</v>
      </c>
      <c r="AX113" s="61">
        <f t="shared" si="5"/>
        <v>14</v>
      </c>
      <c r="AY113" s="61">
        <f t="shared" si="5"/>
        <v>15</v>
      </c>
      <c r="AZ113" s="61">
        <f t="shared" si="5"/>
        <v>15</v>
      </c>
      <c r="BA113" s="61">
        <f t="shared" si="5"/>
        <v>15</v>
      </c>
      <c r="BB113" s="61">
        <f t="shared" si="5"/>
        <v>16</v>
      </c>
      <c r="BC113" s="61">
        <f t="shared" si="5"/>
        <v>16</v>
      </c>
      <c r="BD113" s="61">
        <f t="shared" si="5"/>
        <v>17</v>
      </c>
      <c r="BE113" s="70">
        <f>BD113</f>
        <v>17</v>
      </c>
      <c r="BF113" s="77">
        <v>20</v>
      </c>
      <c r="BG113" s="78">
        <v>17</v>
      </c>
      <c r="BH113" s="78">
        <v>24</v>
      </c>
      <c r="BI113" s="78">
        <v>21</v>
      </c>
      <c r="BJ113" s="79">
        <v>14</v>
      </c>
      <c r="BK113" s="79">
        <v>9</v>
      </c>
      <c r="BL113" s="79">
        <v>17</v>
      </c>
      <c r="BM113" s="88">
        <v>12</v>
      </c>
      <c r="BN113" s="77">
        <v>20</v>
      </c>
      <c r="BO113" s="78">
        <v>17</v>
      </c>
      <c r="BP113" s="78">
        <v>24</v>
      </c>
      <c r="BQ113" s="78">
        <v>21</v>
      </c>
      <c r="BR113" s="79">
        <v>14</v>
      </c>
      <c r="BS113" s="79">
        <v>9</v>
      </c>
      <c r="BT113" s="79">
        <v>17</v>
      </c>
      <c r="BU113" s="80">
        <v>12</v>
      </c>
    </row>
    <row r="114" spans="1:73" s="81" customFormat="1" x14ac:dyDescent="0.3">
      <c r="A114" s="63">
        <v>2.5</v>
      </c>
      <c r="B114" s="29">
        <v>15</v>
      </c>
      <c r="C114" s="15">
        <v>15.5</v>
      </c>
      <c r="D114" s="15">
        <v>15.5</v>
      </c>
      <c r="E114" s="15">
        <v>17</v>
      </c>
      <c r="F114" s="15">
        <v>17</v>
      </c>
      <c r="G114" s="15">
        <v>18</v>
      </c>
      <c r="H114" s="15">
        <v>18</v>
      </c>
      <c r="I114" s="15">
        <v>19</v>
      </c>
      <c r="J114" s="15">
        <v>20</v>
      </c>
      <c r="K114" s="15">
        <v>20</v>
      </c>
      <c r="L114" s="15">
        <v>20</v>
      </c>
      <c r="M114" s="15">
        <v>20</v>
      </c>
      <c r="N114" s="15">
        <v>21</v>
      </c>
      <c r="O114" s="15">
        <v>22</v>
      </c>
      <c r="P114" s="15">
        <v>22</v>
      </c>
      <c r="Q114" s="15">
        <v>23</v>
      </c>
      <c r="R114" s="15">
        <v>23</v>
      </c>
      <c r="S114" s="15">
        <v>24</v>
      </c>
      <c r="T114" s="15">
        <v>24</v>
      </c>
      <c r="U114" s="15">
        <v>26</v>
      </c>
      <c r="V114" s="15">
        <v>27</v>
      </c>
      <c r="W114" s="15">
        <v>26</v>
      </c>
      <c r="X114" s="15">
        <v>28</v>
      </c>
      <c r="Y114" s="15">
        <v>28</v>
      </c>
      <c r="Z114" s="15">
        <v>30</v>
      </c>
      <c r="AA114" s="15">
        <v>30</v>
      </c>
      <c r="AB114" s="15">
        <v>32</v>
      </c>
      <c r="AC114" s="31">
        <v>34</v>
      </c>
      <c r="AD114" s="29">
        <v>11.5</v>
      </c>
      <c r="AE114" s="15">
        <v>12</v>
      </c>
      <c r="AF114" s="15">
        <v>12</v>
      </c>
      <c r="AG114" s="15">
        <v>13</v>
      </c>
      <c r="AH114" s="15">
        <v>13</v>
      </c>
      <c r="AI114" s="15">
        <v>14</v>
      </c>
      <c r="AJ114" s="15">
        <v>14</v>
      </c>
      <c r="AK114" s="15">
        <v>15</v>
      </c>
      <c r="AL114" s="15">
        <v>16</v>
      </c>
      <c r="AM114" s="15">
        <v>16</v>
      </c>
      <c r="AN114" s="15">
        <v>16.5</v>
      </c>
      <c r="AO114" s="15">
        <v>16.5</v>
      </c>
      <c r="AP114" s="15">
        <v>17</v>
      </c>
      <c r="AQ114" s="15">
        <v>17.5</v>
      </c>
      <c r="AR114" s="15">
        <v>17.5</v>
      </c>
      <c r="AS114" s="15">
        <v>18</v>
      </c>
      <c r="AT114" s="15">
        <v>18</v>
      </c>
      <c r="AU114" s="15">
        <v>19</v>
      </c>
      <c r="AV114" s="15">
        <v>19</v>
      </c>
      <c r="AW114" s="15">
        <v>20</v>
      </c>
      <c r="AX114" s="15">
        <v>20</v>
      </c>
      <c r="AY114" s="15">
        <v>20</v>
      </c>
      <c r="AZ114" s="15">
        <v>21</v>
      </c>
      <c r="BA114" s="15">
        <v>21</v>
      </c>
      <c r="BB114" s="15">
        <v>23</v>
      </c>
      <c r="BC114" s="15">
        <v>23</v>
      </c>
      <c r="BD114" s="15">
        <v>25</v>
      </c>
      <c r="BE114" s="70">
        <f t="shared" ref="BE114:BE118" si="6">BD114</f>
        <v>25</v>
      </c>
      <c r="BF114" s="77">
        <v>27</v>
      </c>
      <c r="BG114" s="78">
        <v>22</v>
      </c>
      <c r="BH114" s="78">
        <v>32</v>
      </c>
      <c r="BI114" s="78">
        <v>27</v>
      </c>
      <c r="BJ114" s="79">
        <v>19</v>
      </c>
      <c r="BK114" s="79">
        <v>13</v>
      </c>
      <c r="BL114" s="79">
        <v>23</v>
      </c>
      <c r="BM114" s="88">
        <v>17</v>
      </c>
      <c r="BN114" s="77">
        <v>27</v>
      </c>
      <c r="BO114" s="78">
        <v>22</v>
      </c>
      <c r="BP114" s="78">
        <v>32</v>
      </c>
      <c r="BQ114" s="78">
        <v>27</v>
      </c>
      <c r="BR114" s="79">
        <v>19</v>
      </c>
      <c r="BS114" s="79">
        <v>13</v>
      </c>
      <c r="BT114" s="79">
        <v>23</v>
      </c>
      <c r="BU114" s="80">
        <v>17</v>
      </c>
    </row>
    <row r="115" spans="1:73" s="81" customFormat="1" x14ac:dyDescent="0.3">
      <c r="A115" s="63">
        <v>4</v>
      </c>
      <c r="B115" s="29">
        <v>20</v>
      </c>
      <c r="C115" s="15">
        <v>20</v>
      </c>
      <c r="D115" s="15">
        <v>20</v>
      </c>
      <c r="E115" s="15">
        <v>22</v>
      </c>
      <c r="F115" s="15">
        <v>22</v>
      </c>
      <c r="G115" s="15">
        <v>24</v>
      </c>
      <c r="H115" s="15">
        <v>24</v>
      </c>
      <c r="I115" s="15">
        <v>25</v>
      </c>
      <c r="J115" s="15">
        <v>26</v>
      </c>
      <c r="K115" s="15">
        <v>26</v>
      </c>
      <c r="L115" s="15">
        <v>28</v>
      </c>
      <c r="M115" s="15">
        <v>28</v>
      </c>
      <c r="N115" s="15">
        <v>29</v>
      </c>
      <c r="O115" s="15">
        <v>30</v>
      </c>
      <c r="P115" s="15">
        <v>30</v>
      </c>
      <c r="Q115" s="15">
        <v>31</v>
      </c>
      <c r="R115" s="15">
        <v>31</v>
      </c>
      <c r="S115" s="15">
        <v>32</v>
      </c>
      <c r="T115" s="15">
        <v>32</v>
      </c>
      <c r="U115" s="15">
        <v>34</v>
      </c>
      <c r="V115" s="15">
        <v>36</v>
      </c>
      <c r="W115" s="15">
        <v>36</v>
      </c>
      <c r="X115" s="15">
        <v>38</v>
      </c>
      <c r="Y115" s="15">
        <v>38</v>
      </c>
      <c r="Z115" s="15">
        <v>40</v>
      </c>
      <c r="AA115" s="15">
        <v>40</v>
      </c>
      <c r="AB115" s="15">
        <v>44</v>
      </c>
      <c r="AC115" s="31">
        <v>46</v>
      </c>
      <c r="AD115" s="29">
        <v>15</v>
      </c>
      <c r="AE115" s="15">
        <v>16</v>
      </c>
      <c r="AF115" s="15">
        <v>16</v>
      </c>
      <c r="AG115" s="15">
        <v>17</v>
      </c>
      <c r="AH115" s="15">
        <v>17</v>
      </c>
      <c r="AI115" s="15">
        <v>19</v>
      </c>
      <c r="AJ115" s="15">
        <v>19</v>
      </c>
      <c r="AK115" s="15">
        <v>20</v>
      </c>
      <c r="AL115" s="15">
        <v>21</v>
      </c>
      <c r="AM115" s="15">
        <v>21</v>
      </c>
      <c r="AN115" s="15">
        <v>22</v>
      </c>
      <c r="AO115" s="15">
        <v>22</v>
      </c>
      <c r="AP115" s="15">
        <v>22</v>
      </c>
      <c r="AQ115" s="15">
        <v>23</v>
      </c>
      <c r="AR115" s="15">
        <v>23</v>
      </c>
      <c r="AS115" s="15">
        <v>24</v>
      </c>
      <c r="AT115" s="15">
        <v>24</v>
      </c>
      <c r="AU115" s="15">
        <v>25</v>
      </c>
      <c r="AV115" s="15">
        <v>25</v>
      </c>
      <c r="AW115" s="15">
        <v>26</v>
      </c>
      <c r="AX115" s="15">
        <v>28</v>
      </c>
      <c r="AY115" s="15">
        <v>27</v>
      </c>
      <c r="AZ115" s="15">
        <v>29</v>
      </c>
      <c r="BA115" s="15">
        <v>29</v>
      </c>
      <c r="BB115" s="15">
        <v>31</v>
      </c>
      <c r="BC115" s="15">
        <v>31</v>
      </c>
      <c r="BD115" s="15">
        <v>34</v>
      </c>
      <c r="BE115" s="70">
        <f t="shared" si="6"/>
        <v>34</v>
      </c>
      <c r="BF115" s="77">
        <v>36</v>
      </c>
      <c r="BG115" s="78">
        <v>29</v>
      </c>
      <c r="BH115" s="78">
        <v>42</v>
      </c>
      <c r="BI115" s="78">
        <v>35</v>
      </c>
      <c r="BJ115" s="79">
        <v>26</v>
      </c>
      <c r="BK115" s="79">
        <v>19</v>
      </c>
      <c r="BL115" s="79">
        <v>31</v>
      </c>
      <c r="BM115" s="88">
        <v>24</v>
      </c>
      <c r="BN115" s="77">
        <v>36</v>
      </c>
      <c r="BO115" s="78">
        <v>29</v>
      </c>
      <c r="BP115" s="78">
        <v>42</v>
      </c>
      <c r="BQ115" s="78">
        <v>35</v>
      </c>
      <c r="BR115" s="79">
        <v>26</v>
      </c>
      <c r="BS115" s="79">
        <v>19</v>
      </c>
      <c r="BT115" s="79">
        <v>31</v>
      </c>
      <c r="BU115" s="80">
        <v>24</v>
      </c>
    </row>
    <row r="116" spans="1:73" s="81" customFormat="1" x14ac:dyDescent="0.3">
      <c r="A116" s="63">
        <v>6</v>
      </c>
      <c r="B116" s="29">
        <v>25</v>
      </c>
      <c r="C116" s="15">
        <v>26</v>
      </c>
      <c r="D116" s="15">
        <v>26</v>
      </c>
      <c r="E116" s="15">
        <v>29</v>
      </c>
      <c r="F116" s="15">
        <v>29</v>
      </c>
      <c r="G116" s="15">
        <v>31</v>
      </c>
      <c r="H116" s="15">
        <v>31</v>
      </c>
      <c r="I116" s="15">
        <v>32</v>
      </c>
      <c r="J116" s="15">
        <v>34</v>
      </c>
      <c r="K116" s="15">
        <v>34</v>
      </c>
      <c r="L116" s="15">
        <v>36</v>
      </c>
      <c r="M116" s="15">
        <v>36</v>
      </c>
      <c r="N116" s="15">
        <v>37</v>
      </c>
      <c r="O116" s="15">
        <v>39</v>
      </c>
      <c r="P116" s="15">
        <v>39</v>
      </c>
      <c r="Q116" s="15">
        <v>40</v>
      </c>
      <c r="R116" s="15">
        <v>40</v>
      </c>
      <c r="S116" s="15">
        <v>41</v>
      </c>
      <c r="T116" s="15">
        <v>41</v>
      </c>
      <c r="U116" s="15">
        <v>44</v>
      </c>
      <c r="V116" s="15">
        <v>46</v>
      </c>
      <c r="W116" s="15">
        <v>46</v>
      </c>
      <c r="X116" s="15">
        <v>49</v>
      </c>
      <c r="Y116" s="15">
        <v>49</v>
      </c>
      <c r="Z116" s="15">
        <v>52</v>
      </c>
      <c r="AA116" s="15">
        <v>52</v>
      </c>
      <c r="AB116" s="15">
        <v>57</v>
      </c>
      <c r="AC116" s="31">
        <v>59</v>
      </c>
      <c r="AD116" s="29">
        <v>20</v>
      </c>
      <c r="AE116" s="15">
        <v>20</v>
      </c>
      <c r="AF116" s="15">
        <v>20</v>
      </c>
      <c r="AG116" s="15">
        <v>22</v>
      </c>
      <c r="AH116" s="15">
        <v>22</v>
      </c>
      <c r="AI116" s="15">
        <v>24</v>
      </c>
      <c r="AJ116" s="15">
        <v>24</v>
      </c>
      <c r="AK116" s="15">
        <v>25</v>
      </c>
      <c r="AL116" s="15">
        <v>27</v>
      </c>
      <c r="AM116" s="15">
        <v>27</v>
      </c>
      <c r="AN116" s="15">
        <v>29</v>
      </c>
      <c r="AO116" s="15">
        <v>29</v>
      </c>
      <c r="AP116" s="15">
        <v>28</v>
      </c>
      <c r="AQ116" s="15">
        <v>30</v>
      </c>
      <c r="AR116" s="15">
        <v>30</v>
      </c>
      <c r="AS116" s="15">
        <v>31</v>
      </c>
      <c r="AT116" s="15">
        <v>31</v>
      </c>
      <c r="AU116" s="15">
        <v>32</v>
      </c>
      <c r="AV116" s="15">
        <v>32</v>
      </c>
      <c r="AW116" s="15">
        <v>33</v>
      </c>
      <c r="AX116" s="15">
        <v>35</v>
      </c>
      <c r="AY116" s="15">
        <v>36</v>
      </c>
      <c r="AZ116" s="15">
        <v>38</v>
      </c>
      <c r="BA116" s="15">
        <v>38</v>
      </c>
      <c r="BB116" s="15">
        <v>40</v>
      </c>
      <c r="BC116" s="15">
        <v>40</v>
      </c>
      <c r="BD116" s="15">
        <v>44</v>
      </c>
      <c r="BE116" s="70">
        <f t="shared" si="6"/>
        <v>44</v>
      </c>
      <c r="BF116" s="77">
        <v>44</v>
      </c>
      <c r="BG116" s="78">
        <v>37</v>
      </c>
      <c r="BH116" s="78">
        <v>53</v>
      </c>
      <c r="BI116" s="78">
        <v>44</v>
      </c>
      <c r="BJ116" s="79">
        <v>33</v>
      </c>
      <c r="BK116" s="79">
        <v>26</v>
      </c>
      <c r="BL116" s="79">
        <v>40</v>
      </c>
      <c r="BM116" s="88">
        <v>32</v>
      </c>
      <c r="BN116" s="77">
        <v>44</v>
      </c>
      <c r="BO116" s="78">
        <v>37</v>
      </c>
      <c r="BP116" s="78">
        <v>53</v>
      </c>
      <c r="BQ116" s="78">
        <v>44</v>
      </c>
      <c r="BR116" s="79">
        <v>33</v>
      </c>
      <c r="BS116" s="79">
        <v>26</v>
      </c>
      <c r="BT116" s="79">
        <v>40</v>
      </c>
      <c r="BU116" s="80">
        <v>32</v>
      </c>
    </row>
    <row r="117" spans="1:73" s="81" customFormat="1" x14ac:dyDescent="0.3">
      <c r="A117" s="63">
        <v>10</v>
      </c>
      <c r="B117" s="29">
        <v>33</v>
      </c>
      <c r="C117" s="15">
        <v>36</v>
      </c>
      <c r="D117" s="15">
        <v>36</v>
      </c>
      <c r="E117" s="15">
        <v>40</v>
      </c>
      <c r="F117" s="15">
        <v>40</v>
      </c>
      <c r="G117" s="15">
        <v>43</v>
      </c>
      <c r="H117" s="15">
        <v>43</v>
      </c>
      <c r="I117" s="15">
        <v>45</v>
      </c>
      <c r="J117" s="15">
        <v>46</v>
      </c>
      <c r="K117" s="15">
        <v>46</v>
      </c>
      <c r="L117" s="15">
        <v>49</v>
      </c>
      <c r="M117" s="15">
        <v>49</v>
      </c>
      <c r="N117" s="15">
        <v>52</v>
      </c>
      <c r="O117" s="15">
        <v>54</v>
      </c>
      <c r="P117" s="15">
        <v>54</v>
      </c>
      <c r="Q117" s="15">
        <v>54</v>
      </c>
      <c r="R117" s="15">
        <v>54</v>
      </c>
      <c r="S117" s="15">
        <v>57</v>
      </c>
      <c r="T117" s="15">
        <v>57</v>
      </c>
      <c r="U117" s="15">
        <v>60</v>
      </c>
      <c r="V117" s="15">
        <v>63</v>
      </c>
      <c r="W117" s="15">
        <v>65</v>
      </c>
      <c r="X117" s="15">
        <v>68</v>
      </c>
      <c r="Y117" s="15">
        <v>68</v>
      </c>
      <c r="Z117" s="15">
        <v>72</v>
      </c>
      <c r="AA117" s="15">
        <v>72</v>
      </c>
      <c r="AB117" s="15">
        <v>78</v>
      </c>
      <c r="AC117" s="31">
        <v>82</v>
      </c>
      <c r="AD117" s="29">
        <v>26</v>
      </c>
      <c r="AE117" s="15">
        <v>27</v>
      </c>
      <c r="AF117" s="15">
        <v>27</v>
      </c>
      <c r="AG117" s="15">
        <v>31</v>
      </c>
      <c r="AH117" s="15">
        <v>31</v>
      </c>
      <c r="AI117" s="15">
        <v>33</v>
      </c>
      <c r="AJ117" s="15">
        <v>33</v>
      </c>
      <c r="AK117" s="15">
        <v>35</v>
      </c>
      <c r="AL117" s="15">
        <v>38</v>
      </c>
      <c r="AM117" s="15">
        <v>38</v>
      </c>
      <c r="AN117" s="15">
        <v>40</v>
      </c>
      <c r="AO117" s="15">
        <v>40</v>
      </c>
      <c r="AP117" s="15">
        <v>40</v>
      </c>
      <c r="AQ117" s="15">
        <v>41</v>
      </c>
      <c r="AR117" s="15">
        <v>41</v>
      </c>
      <c r="AS117" s="15">
        <v>42</v>
      </c>
      <c r="AT117" s="15">
        <v>42</v>
      </c>
      <c r="AU117" s="15">
        <v>44</v>
      </c>
      <c r="AV117" s="15">
        <v>44</v>
      </c>
      <c r="AW117" s="15">
        <v>46</v>
      </c>
      <c r="AX117" s="15">
        <v>49</v>
      </c>
      <c r="AY117" s="15">
        <v>50</v>
      </c>
      <c r="AZ117" s="15">
        <v>52</v>
      </c>
      <c r="BA117" s="15">
        <v>52</v>
      </c>
      <c r="BB117" s="15">
        <v>56</v>
      </c>
      <c r="BC117" s="15">
        <v>56</v>
      </c>
      <c r="BD117" s="15">
        <v>60</v>
      </c>
      <c r="BE117" s="70">
        <f t="shared" si="6"/>
        <v>60</v>
      </c>
      <c r="BF117" s="77">
        <v>59</v>
      </c>
      <c r="BG117" s="78">
        <v>49</v>
      </c>
      <c r="BH117" s="78">
        <v>70</v>
      </c>
      <c r="BI117" s="78">
        <v>58</v>
      </c>
      <c r="BJ117" s="79">
        <v>45</v>
      </c>
      <c r="BK117" s="79">
        <v>37</v>
      </c>
      <c r="BL117" s="79">
        <v>54</v>
      </c>
      <c r="BM117" s="88">
        <v>44</v>
      </c>
      <c r="BN117" s="77">
        <v>59</v>
      </c>
      <c r="BO117" s="78">
        <v>49</v>
      </c>
      <c r="BP117" s="78">
        <v>70</v>
      </c>
      <c r="BQ117" s="78">
        <v>58</v>
      </c>
      <c r="BR117" s="79">
        <v>45</v>
      </c>
      <c r="BS117" s="79">
        <v>37</v>
      </c>
      <c r="BT117" s="79">
        <v>54</v>
      </c>
      <c r="BU117" s="80">
        <v>44</v>
      </c>
    </row>
    <row r="118" spans="1:73" s="81" customFormat="1" x14ac:dyDescent="0.3">
      <c r="A118" s="63">
        <v>16</v>
      </c>
      <c r="B118" s="29">
        <v>45</v>
      </c>
      <c r="C118" s="15">
        <v>48</v>
      </c>
      <c r="D118" s="15">
        <v>48</v>
      </c>
      <c r="E118" s="15">
        <v>53</v>
      </c>
      <c r="F118" s="15">
        <v>53</v>
      </c>
      <c r="G118" s="15">
        <v>59</v>
      </c>
      <c r="H118" s="15">
        <v>59</v>
      </c>
      <c r="I118" s="15">
        <v>61</v>
      </c>
      <c r="J118" s="15">
        <v>63</v>
      </c>
      <c r="K118" s="15">
        <v>63</v>
      </c>
      <c r="L118" s="15">
        <v>66</v>
      </c>
      <c r="M118" s="15">
        <v>66</v>
      </c>
      <c r="N118" s="15">
        <v>69</v>
      </c>
      <c r="O118" s="15">
        <v>72</v>
      </c>
      <c r="P118" s="15">
        <v>72</v>
      </c>
      <c r="Q118" s="15">
        <v>73</v>
      </c>
      <c r="R118" s="15">
        <v>73</v>
      </c>
      <c r="S118" s="15">
        <v>77</v>
      </c>
      <c r="T118" s="15">
        <v>77</v>
      </c>
      <c r="U118" s="15">
        <v>81</v>
      </c>
      <c r="V118" s="15">
        <v>85</v>
      </c>
      <c r="W118" s="15">
        <v>87</v>
      </c>
      <c r="X118" s="15">
        <v>91</v>
      </c>
      <c r="Y118" s="15">
        <v>91</v>
      </c>
      <c r="Z118" s="15">
        <v>97</v>
      </c>
      <c r="AA118" s="15">
        <v>97</v>
      </c>
      <c r="AB118" s="15">
        <v>104</v>
      </c>
      <c r="AC118" s="31">
        <v>110</v>
      </c>
      <c r="AD118" s="29">
        <v>35</v>
      </c>
      <c r="AE118" s="15">
        <v>37</v>
      </c>
      <c r="AF118" s="15">
        <v>37</v>
      </c>
      <c r="AG118" s="15">
        <v>41</v>
      </c>
      <c r="AH118" s="15">
        <v>41</v>
      </c>
      <c r="AI118" s="15">
        <v>46</v>
      </c>
      <c r="AJ118" s="15">
        <v>46</v>
      </c>
      <c r="AK118" s="15">
        <v>48</v>
      </c>
      <c r="AL118" s="15">
        <v>50</v>
      </c>
      <c r="AM118" s="15">
        <v>50</v>
      </c>
      <c r="AN118" s="15">
        <v>52</v>
      </c>
      <c r="AO118" s="15">
        <v>52</v>
      </c>
      <c r="AP118" s="15">
        <v>53</v>
      </c>
      <c r="AQ118" s="15">
        <v>55</v>
      </c>
      <c r="AR118" s="15">
        <v>55</v>
      </c>
      <c r="AS118" s="15">
        <v>57</v>
      </c>
      <c r="AT118" s="15">
        <v>57</v>
      </c>
      <c r="AU118" s="15">
        <v>60</v>
      </c>
      <c r="AV118" s="15">
        <v>60</v>
      </c>
      <c r="AW118" s="15">
        <v>63</v>
      </c>
      <c r="AX118" s="15">
        <v>66</v>
      </c>
      <c r="AY118" s="15">
        <v>66</v>
      </c>
      <c r="AZ118" s="15">
        <v>70</v>
      </c>
      <c r="BA118" s="15">
        <v>70</v>
      </c>
      <c r="BB118" s="15">
        <v>76</v>
      </c>
      <c r="BC118" s="15">
        <v>76</v>
      </c>
      <c r="BD118" s="15">
        <v>82</v>
      </c>
      <c r="BE118" s="70">
        <f t="shared" si="6"/>
        <v>82</v>
      </c>
      <c r="BF118" s="77">
        <v>76</v>
      </c>
      <c r="BG118" s="78">
        <v>63</v>
      </c>
      <c r="BH118" s="78">
        <v>91</v>
      </c>
      <c r="BI118" s="78">
        <v>75</v>
      </c>
      <c r="BJ118" s="79">
        <v>58</v>
      </c>
      <c r="BK118" s="79">
        <v>48</v>
      </c>
      <c r="BL118" s="78">
        <v>70</v>
      </c>
      <c r="BM118" s="89">
        <v>58</v>
      </c>
      <c r="BN118" s="77">
        <v>76</v>
      </c>
      <c r="BO118" s="78">
        <v>63</v>
      </c>
      <c r="BP118" s="78">
        <v>91</v>
      </c>
      <c r="BQ118" s="78">
        <v>75</v>
      </c>
      <c r="BR118" s="79">
        <v>58</v>
      </c>
      <c r="BS118" s="79">
        <v>48</v>
      </c>
      <c r="BT118" s="78">
        <v>70</v>
      </c>
      <c r="BU118" s="82">
        <v>58</v>
      </c>
    </row>
    <row r="119" spans="1:73" s="81" customFormat="1" x14ac:dyDescent="0.3">
      <c r="A119" s="63">
        <v>25</v>
      </c>
      <c r="B119" s="29">
        <v>59</v>
      </c>
      <c r="C119" s="15">
        <v>63</v>
      </c>
      <c r="D119" s="15">
        <v>63</v>
      </c>
      <c r="E119" s="15">
        <v>69</v>
      </c>
      <c r="F119" s="15">
        <v>69</v>
      </c>
      <c r="G119" s="15">
        <v>77</v>
      </c>
      <c r="H119" s="15">
        <v>77</v>
      </c>
      <c r="I119" s="15">
        <v>80</v>
      </c>
      <c r="J119" s="15">
        <v>82</v>
      </c>
      <c r="K119" s="15">
        <v>82</v>
      </c>
      <c r="L119" s="15">
        <v>86</v>
      </c>
      <c r="M119" s="15">
        <v>86</v>
      </c>
      <c r="N119" s="15">
        <v>87</v>
      </c>
      <c r="O119" s="15">
        <v>91</v>
      </c>
      <c r="P119" s="15">
        <v>91</v>
      </c>
      <c r="Q119" s="15">
        <v>95</v>
      </c>
      <c r="R119" s="15">
        <v>95</v>
      </c>
      <c r="S119" s="15">
        <v>100</v>
      </c>
      <c r="T119" s="15">
        <v>100</v>
      </c>
      <c r="U119" s="15">
        <v>103</v>
      </c>
      <c r="V119" s="15">
        <v>108</v>
      </c>
      <c r="W119" s="15">
        <v>110</v>
      </c>
      <c r="X119" s="15">
        <v>115</v>
      </c>
      <c r="Y119" s="15">
        <v>115</v>
      </c>
      <c r="Z119" s="15">
        <v>122</v>
      </c>
      <c r="AA119" s="15">
        <v>122</v>
      </c>
      <c r="AB119" s="15">
        <v>135</v>
      </c>
      <c r="AC119" s="31">
        <v>146</v>
      </c>
      <c r="AD119" s="29">
        <v>46</v>
      </c>
      <c r="AE119" s="15">
        <v>49</v>
      </c>
      <c r="AF119" s="15">
        <v>49</v>
      </c>
      <c r="AG119" s="15">
        <v>54</v>
      </c>
      <c r="AH119" s="15">
        <v>54</v>
      </c>
      <c r="AI119" s="15">
        <v>60</v>
      </c>
      <c r="AJ119" s="15">
        <v>60</v>
      </c>
      <c r="AK119" s="15">
        <v>63</v>
      </c>
      <c r="AL119" s="15">
        <v>63</v>
      </c>
      <c r="AM119" s="15">
        <v>63</v>
      </c>
      <c r="AN119" s="15">
        <v>66</v>
      </c>
      <c r="AO119" s="15">
        <v>66</v>
      </c>
      <c r="AP119" s="15">
        <v>67</v>
      </c>
      <c r="AQ119" s="15">
        <v>70</v>
      </c>
      <c r="AR119" s="15">
        <v>70</v>
      </c>
      <c r="AS119" s="15">
        <v>72</v>
      </c>
      <c r="AT119" s="15">
        <v>72</v>
      </c>
      <c r="AU119" s="15">
        <v>75</v>
      </c>
      <c r="AV119" s="15">
        <v>75</v>
      </c>
      <c r="AW119" s="15">
        <v>78</v>
      </c>
      <c r="AX119" s="15">
        <v>81</v>
      </c>
      <c r="AY119" s="15">
        <v>84</v>
      </c>
      <c r="AZ119" s="15">
        <v>88</v>
      </c>
      <c r="BA119" s="15">
        <v>88</v>
      </c>
      <c r="BB119" s="15">
        <v>91</v>
      </c>
      <c r="BC119" s="15">
        <v>91</v>
      </c>
      <c r="BD119" s="15">
        <v>98</v>
      </c>
      <c r="BE119" s="71">
        <v>110</v>
      </c>
      <c r="BF119" s="77">
        <v>98</v>
      </c>
      <c r="BG119" s="78">
        <v>81</v>
      </c>
      <c r="BH119" s="78">
        <v>116</v>
      </c>
      <c r="BI119" s="78">
        <v>96</v>
      </c>
      <c r="BJ119" s="79">
        <v>75</v>
      </c>
      <c r="BK119" s="79">
        <v>62</v>
      </c>
      <c r="BL119" s="78">
        <v>89</v>
      </c>
      <c r="BM119" s="89">
        <v>74</v>
      </c>
      <c r="BN119" s="77">
        <v>98</v>
      </c>
      <c r="BO119" s="78">
        <v>81</v>
      </c>
      <c r="BP119" s="78">
        <v>116</v>
      </c>
      <c r="BQ119" s="78">
        <v>96</v>
      </c>
      <c r="BR119" s="79">
        <v>75</v>
      </c>
      <c r="BS119" s="79">
        <v>62</v>
      </c>
      <c r="BT119" s="78">
        <v>89</v>
      </c>
      <c r="BU119" s="82">
        <v>74</v>
      </c>
    </row>
    <row r="120" spans="1:73" s="81" customFormat="1" x14ac:dyDescent="0.3">
      <c r="A120" s="63">
        <v>35</v>
      </c>
      <c r="B120" s="29">
        <v>72</v>
      </c>
      <c r="C120" s="15">
        <v>77</v>
      </c>
      <c r="D120" s="15">
        <v>77</v>
      </c>
      <c r="E120" s="15">
        <v>86</v>
      </c>
      <c r="F120" s="15">
        <v>86</v>
      </c>
      <c r="G120" s="15">
        <v>95</v>
      </c>
      <c r="H120" s="15">
        <v>95</v>
      </c>
      <c r="I120" s="15">
        <v>100</v>
      </c>
      <c r="J120" s="15">
        <v>101</v>
      </c>
      <c r="K120" s="15">
        <v>101</v>
      </c>
      <c r="L120" s="15">
        <v>106</v>
      </c>
      <c r="M120" s="15">
        <v>106</v>
      </c>
      <c r="N120" s="15">
        <v>109</v>
      </c>
      <c r="O120" s="15">
        <v>114</v>
      </c>
      <c r="P120" s="15">
        <v>114</v>
      </c>
      <c r="Q120" s="15">
        <v>119</v>
      </c>
      <c r="R120" s="15">
        <v>119</v>
      </c>
      <c r="S120" s="15">
        <v>124</v>
      </c>
      <c r="T120" s="15">
        <v>124</v>
      </c>
      <c r="U120" s="15">
        <v>127</v>
      </c>
      <c r="V120" s="15">
        <v>133</v>
      </c>
      <c r="W120" s="15">
        <v>137</v>
      </c>
      <c r="X120" s="15">
        <v>143</v>
      </c>
      <c r="Y120" s="15">
        <v>143</v>
      </c>
      <c r="Z120" s="15">
        <v>153</v>
      </c>
      <c r="AA120" s="15">
        <v>153</v>
      </c>
      <c r="AB120" s="15">
        <v>168</v>
      </c>
      <c r="AC120" s="31">
        <v>182</v>
      </c>
      <c r="AD120" s="67">
        <f t="shared" ref="AD120:AD128" si="7">ROUNDDOWN(B120/B119*AD119,0)</f>
        <v>56</v>
      </c>
      <c r="AE120" s="61">
        <f t="shared" ref="AE120:AE128" si="8">ROUNDDOWN(C120/C119*AE119,0)</f>
        <v>59</v>
      </c>
      <c r="AF120" s="61">
        <f t="shared" ref="AF120:AF128" si="9">ROUNDDOWN(D120/D119*AF119,0)</f>
        <v>59</v>
      </c>
      <c r="AG120" s="61">
        <f t="shared" ref="AG120:AG128" si="10">ROUNDDOWN(E120/E119*AG119,0)</f>
        <v>67</v>
      </c>
      <c r="AH120" s="61">
        <f t="shared" ref="AH120:AH128" si="11">ROUNDDOWN(F120/F119*AH119,0)</f>
        <v>67</v>
      </c>
      <c r="AI120" s="15">
        <v>74</v>
      </c>
      <c r="AJ120" s="15">
        <v>74</v>
      </c>
      <c r="AK120" s="15">
        <v>78</v>
      </c>
      <c r="AL120" s="15">
        <v>78</v>
      </c>
      <c r="AM120" s="15">
        <v>78</v>
      </c>
      <c r="AN120" s="15">
        <v>81</v>
      </c>
      <c r="AO120" s="15">
        <v>81</v>
      </c>
      <c r="AP120" s="15">
        <v>83</v>
      </c>
      <c r="AQ120" s="15">
        <v>87</v>
      </c>
      <c r="AR120" s="15">
        <v>87</v>
      </c>
      <c r="AS120" s="15">
        <v>89</v>
      </c>
      <c r="AT120" s="15">
        <v>89</v>
      </c>
      <c r="AU120" s="15">
        <v>93</v>
      </c>
      <c r="AV120" s="15">
        <v>93</v>
      </c>
      <c r="AW120" s="15">
        <v>97</v>
      </c>
      <c r="AX120" s="15">
        <v>101</v>
      </c>
      <c r="AY120" s="15">
        <v>104</v>
      </c>
      <c r="AZ120" s="15">
        <v>109</v>
      </c>
      <c r="BA120" s="15">
        <v>109</v>
      </c>
      <c r="BB120" s="15">
        <v>114</v>
      </c>
      <c r="BC120" s="15">
        <v>114</v>
      </c>
      <c r="BD120" s="15">
        <v>122</v>
      </c>
      <c r="BE120" s="71">
        <v>136</v>
      </c>
      <c r="BF120" s="77">
        <v>118</v>
      </c>
      <c r="BG120" s="78">
        <v>97</v>
      </c>
      <c r="BH120" s="78">
        <v>140</v>
      </c>
      <c r="BI120" s="78">
        <v>117</v>
      </c>
      <c r="BJ120" s="79">
        <v>90</v>
      </c>
      <c r="BK120" s="79">
        <v>74</v>
      </c>
      <c r="BL120" s="78">
        <v>107</v>
      </c>
      <c r="BM120" s="89">
        <v>90</v>
      </c>
      <c r="BN120" s="77">
        <v>118</v>
      </c>
      <c r="BO120" s="78">
        <v>97</v>
      </c>
      <c r="BP120" s="78">
        <v>140</v>
      </c>
      <c r="BQ120" s="78">
        <v>117</v>
      </c>
      <c r="BR120" s="79">
        <v>90</v>
      </c>
      <c r="BS120" s="79">
        <v>74</v>
      </c>
      <c r="BT120" s="78">
        <v>107</v>
      </c>
      <c r="BU120" s="82">
        <v>90</v>
      </c>
    </row>
    <row r="121" spans="1:73" s="81" customFormat="1" x14ac:dyDescent="0.3">
      <c r="A121" s="63">
        <v>50</v>
      </c>
      <c r="B121" s="29">
        <v>86</v>
      </c>
      <c r="C121" s="15">
        <v>94</v>
      </c>
      <c r="D121" s="15">
        <v>94</v>
      </c>
      <c r="E121" s="15">
        <v>103</v>
      </c>
      <c r="F121" s="15">
        <v>103</v>
      </c>
      <c r="G121" s="15">
        <v>116</v>
      </c>
      <c r="H121" s="15">
        <v>116</v>
      </c>
      <c r="I121" s="15">
        <v>121</v>
      </c>
      <c r="J121" s="15">
        <v>122</v>
      </c>
      <c r="K121" s="15">
        <v>122</v>
      </c>
      <c r="L121" s="15">
        <v>128</v>
      </c>
      <c r="M121" s="15">
        <v>128</v>
      </c>
      <c r="N121" s="15">
        <v>133</v>
      </c>
      <c r="O121" s="15">
        <v>139</v>
      </c>
      <c r="P121" s="15">
        <v>139</v>
      </c>
      <c r="Q121" s="15">
        <v>145</v>
      </c>
      <c r="R121" s="15">
        <v>145</v>
      </c>
      <c r="S121" s="15">
        <v>151</v>
      </c>
      <c r="T121" s="15">
        <v>151</v>
      </c>
      <c r="U121" s="15">
        <v>155</v>
      </c>
      <c r="V121" s="15">
        <v>162</v>
      </c>
      <c r="W121" s="15">
        <v>167</v>
      </c>
      <c r="X121" s="15">
        <v>174</v>
      </c>
      <c r="Y121" s="15">
        <v>174</v>
      </c>
      <c r="Z121" s="15">
        <v>188</v>
      </c>
      <c r="AA121" s="15">
        <v>188</v>
      </c>
      <c r="AB121" s="15">
        <v>204</v>
      </c>
      <c r="AC121" s="31">
        <v>220</v>
      </c>
      <c r="AD121" s="67">
        <f t="shared" si="7"/>
        <v>66</v>
      </c>
      <c r="AE121" s="61">
        <f t="shared" si="8"/>
        <v>72</v>
      </c>
      <c r="AF121" s="61">
        <f t="shared" si="9"/>
        <v>72</v>
      </c>
      <c r="AG121" s="61">
        <f t="shared" si="10"/>
        <v>80</v>
      </c>
      <c r="AH121" s="61">
        <f t="shared" si="11"/>
        <v>80</v>
      </c>
      <c r="AI121" s="15">
        <v>90</v>
      </c>
      <c r="AJ121" s="15">
        <v>90</v>
      </c>
      <c r="AK121" s="15">
        <v>94</v>
      </c>
      <c r="AL121" s="15">
        <v>95</v>
      </c>
      <c r="AM121" s="15">
        <v>95</v>
      </c>
      <c r="AN121" s="15">
        <v>100</v>
      </c>
      <c r="AO121" s="15">
        <v>100</v>
      </c>
      <c r="AP121" s="15">
        <v>101</v>
      </c>
      <c r="AQ121" s="15">
        <v>106</v>
      </c>
      <c r="AR121" s="15">
        <v>106</v>
      </c>
      <c r="AS121" s="15">
        <v>108</v>
      </c>
      <c r="AT121" s="15">
        <v>108</v>
      </c>
      <c r="AU121" s="15">
        <v>113</v>
      </c>
      <c r="AV121" s="15">
        <v>113</v>
      </c>
      <c r="AW121" s="15">
        <v>118</v>
      </c>
      <c r="AX121" s="15">
        <v>123</v>
      </c>
      <c r="AY121" s="15">
        <v>127</v>
      </c>
      <c r="AZ121" s="15">
        <v>132</v>
      </c>
      <c r="BA121" s="15">
        <v>132</v>
      </c>
      <c r="BB121" s="15">
        <v>140</v>
      </c>
      <c r="BC121" s="15">
        <v>140</v>
      </c>
      <c r="BD121" s="15">
        <v>149</v>
      </c>
      <c r="BE121" s="71">
        <v>167</v>
      </c>
      <c r="BF121" s="77">
        <v>140</v>
      </c>
      <c r="BG121" s="78">
        <v>115</v>
      </c>
      <c r="BH121" s="78">
        <v>166</v>
      </c>
      <c r="BI121" s="78">
        <v>138</v>
      </c>
      <c r="BJ121" s="79">
        <v>106</v>
      </c>
      <c r="BK121" s="79">
        <v>89</v>
      </c>
      <c r="BL121" s="78">
        <v>126</v>
      </c>
      <c r="BM121" s="89">
        <v>107</v>
      </c>
      <c r="BN121" s="77">
        <v>140</v>
      </c>
      <c r="BO121" s="78">
        <v>115</v>
      </c>
      <c r="BP121" s="78">
        <v>166</v>
      </c>
      <c r="BQ121" s="78">
        <v>138</v>
      </c>
      <c r="BR121" s="79">
        <v>106</v>
      </c>
      <c r="BS121" s="79">
        <v>89</v>
      </c>
      <c r="BT121" s="78">
        <v>126</v>
      </c>
      <c r="BU121" s="82">
        <v>107</v>
      </c>
    </row>
    <row r="122" spans="1:73" s="81" customFormat="1" x14ac:dyDescent="0.3">
      <c r="A122" s="63">
        <v>70</v>
      </c>
      <c r="B122" s="29">
        <v>109</v>
      </c>
      <c r="C122" s="15">
        <v>118</v>
      </c>
      <c r="D122" s="15">
        <v>118</v>
      </c>
      <c r="E122" s="15">
        <v>130</v>
      </c>
      <c r="F122" s="15">
        <v>130</v>
      </c>
      <c r="G122" s="15">
        <v>148</v>
      </c>
      <c r="H122" s="15">
        <v>148</v>
      </c>
      <c r="I122" s="15">
        <v>155</v>
      </c>
      <c r="J122" s="15">
        <v>155</v>
      </c>
      <c r="K122" s="15">
        <v>155</v>
      </c>
      <c r="L122" s="15">
        <v>162</v>
      </c>
      <c r="M122" s="15">
        <v>162</v>
      </c>
      <c r="N122" s="15">
        <v>170</v>
      </c>
      <c r="O122" s="15">
        <v>178</v>
      </c>
      <c r="P122" s="15">
        <v>178</v>
      </c>
      <c r="Q122" s="15">
        <v>185</v>
      </c>
      <c r="R122" s="15">
        <v>185</v>
      </c>
      <c r="S122" s="15">
        <v>193</v>
      </c>
      <c r="T122" s="15">
        <v>193</v>
      </c>
      <c r="U122" s="15">
        <v>199</v>
      </c>
      <c r="V122" s="15">
        <v>208</v>
      </c>
      <c r="W122" s="15">
        <v>214</v>
      </c>
      <c r="X122" s="15">
        <v>223</v>
      </c>
      <c r="Y122" s="15">
        <v>223</v>
      </c>
      <c r="Z122" s="15">
        <v>243</v>
      </c>
      <c r="AA122" s="15">
        <v>243</v>
      </c>
      <c r="AB122" s="15">
        <v>262</v>
      </c>
      <c r="AC122" s="31">
        <v>282</v>
      </c>
      <c r="AD122" s="67">
        <f t="shared" si="7"/>
        <v>83</v>
      </c>
      <c r="AE122" s="61">
        <f t="shared" si="8"/>
        <v>90</v>
      </c>
      <c r="AF122" s="61">
        <f t="shared" si="9"/>
        <v>90</v>
      </c>
      <c r="AG122" s="61">
        <f t="shared" si="10"/>
        <v>100</v>
      </c>
      <c r="AH122" s="61">
        <f t="shared" si="11"/>
        <v>100</v>
      </c>
      <c r="AI122" s="15">
        <v>115</v>
      </c>
      <c r="AJ122" s="15">
        <v>115</v>
      </c>
      <c r="AK122" s="15">
        <v>121</v>
      </c>
      <c r="AL122" s="15">
        <v>121</v>
      </c>
      <c r="AM122" s="15">
        <v>121</v>
      </c>
      <c r="AN122" s="15">
        <v>127</v>
      </c>
      <c r="AO122" s="15">
        <v>127</v>
      </c>
      <c r="AP122" s="15">
        <v>130</v>
      </c>
      <c r="AQ122" s="15">
        <v>136</v>
      </c>
      <c r="AR122" s="15">
        <v>136</v>
      </c>
      <c r="AS122" s="15">
        <v>139</v>
      </c>
      <c r="AT122" s="15">
        <v>139</v>
      </c>
      <c r="AU122" s="15">
        <v>145</v>
      </c>
      <c r="AV122" s="15">
        <v>145</v>
      </c>
      <c r="AW122" s="15">
        <v>151</v>
      </c>
      <c r="AX122" s="15">
        <v>158</v>
      </c>
      <c r="AY122" s="15">
        <v>162</v>
      </c>
      <c r="AZ122" s="15">
        <v>170</v>
      </c>
      <c r="BA122" s="15">
        <v>170</v>
      </c>
      <c r="BB122" s="15">
        <v>180</v>
      </c>
      <c r="BC122" s="15">
        <v>180</v>
      </c>
      <c r="BD122" s="15">
        <v>192</v>
      </c>
      <c r="BE122" s="71">
        <v>215</v>
      </c>
      <c r="BF122" s="77">
        <v>173</v>
      </c>
      <c r="BG122" s="78">
        <v>143</v>
      </c>
      <c r="BH122" s="78">
        <v>204</v>
      </c>
      <c r="BI122" s="78">
        <v>170</v>
      </c>
      <c r="BJ122" s="79">
        <v>132</v>
      </c>
      <c r="BK122" s="79">
        <v>111</v>
      </c>
      <c r="BL122" s="78">
        <v>156</v>
      </c>
      <c r="BM122" s="89">
        <v>132</v>
      </c>
      <c r="BN122" s="77">
        <v>173</v>
      </c>
      <c r="BO122" s="78">
        <v>143</v>
      </c>
      <c r="BP122" s="78">
        <v>204</v>
      </c>
      <c r="BQ122" s="78">
        <v>170</v>
      </c>
      <c r="BR122" s="79">
        <v>132</v>
      </c>
      <c r="BS122" s="79">
        <v>111</v>
      </c>
      <c r="BT122" s="78">
        <v>156</v>
      </c>
      <c r="BU122" s="82">
        <v>132</v>
      </c>
    </row>
    <row r="123" spans="1:73" s="81" customFormat="1" x14ac:dyDescent="0.3">
      <c r="A123" s="63">
        <v>95</v>
      </c>
      <c r="B123" s="29">
        <v>131</v>
      </c>
      <c r="C123" s="15">
        <v>143</v>
      </c>
      <c r="D123" s="15">
        <v>143</v>
      </c>
      <c r="E123" s="15">
        <v>156</v>
      </c>
      <c r="F123" s="15">
        <v>156</v>
      </c>
      <c r="G123" s="15">
        <v>180</v>
      </c>
      <c r="H123" s="15">
        <v>180</v>
      </c>
      <c r="I123" s="15">
        <v>188</v>
      </c>
      <c r="J123" s="15">
        <v>187</v>
      </c>
      <c r="K123" s="15">
        <v>187</v>
      </c>
      <c r="L123" s="15">
        <v>196</v>
      </c>
      <c r="M123" s="15">
        <v>196</v>
      </c>
      <c r="N123" s="15">
        <v>207</v>
      </c>
      <c r="O123" s="15">
        <v>216</v>
      </c>
      <c r="P123" s="15">
        <v>216</v>
      </c>
      <c r="Q123" s="15">
        <v>224</v>
      </c>
      <c r="R123" s="15">
        <v>224</v>
      </c>
      <c r="S123" s="15">
        <v>234</v>
      </c>
      <c r="T123" s="15">
        <v>234</v>
      </c>
      <c r="U123" s="15">
        <v>241</v>
      </c>
      <c r="V123" s="15">
        <v>252</v>
      </c>
      <c r="W123" s="15">
        <v>259</v>
      </c>
      <c r="X123" s="15">
        <v>271</v>
      </c>
      <c r="Y123" s="15">
        <v>271</v>
      </c>
      <c r="Z123" s="15">
        <v>298</v>
      </c>
      <c r="AA123" s="15">
        <v>298</v>
      </c>
      <c r="AB123" s="15">
        <v>320</v>
      </c>
      <c r="AC123" s="31">
        <v>343</v>
      </c>
      <c r="AD123" s="67">
        <f t="shared" si="7"/>
        <v>99</v>
      </c>
      <c r="AE123" s="61">
        <f t="shared" si="8"/>
        <v>109</v>
      </c>
      <c r="AF123" s="61">
        <f t="shared" si="9"/>
        <v>109</v>
      </c>
      <c r="AG123" s="61">
        <f t="shared" si="10"/>
        <v>120</v>
      </c>
      <c r="AH123" s="61">
        <f t="shared" si="11"/>
        <v>120</v>
      </c>
      <c r="AI123" s="15">
        <v>140</v>
      </c>
      <c r="AJ123" s="15">
        <v>140</v>
      </c>
      <c r="AK123" s="15">
        <v>146</v>
      </c>
      <c r="AL123" s="15">
        <v>147</v>
      </c>
      <c r="AM123" s="15">
        <v>147</v>
      </c>
      <c r="AN123" s="15">
        <v>154</v>
      </c>
      <c r="AO123" s="15">
        <v>154</v>
      </c>
      <c r="AP123" s="15">
        <v>159</v>
      </c>
      <c r="AQ123" s="15">
        <v>166</v>
      </c>
      <c r="AR123" s="15">
        <v>166</v>
      </c>
      <c r="AS123" s="15">
        <v>169</v>
      </c>
      <c r="AT123" s="15">
        <v>169</v>
      </c>
      <c r="AU123" s="15">
        <v>177</v>
      </c>
      <c r="AV123" s="15">
        <v>177</v>
      </c>
      <c r="AW123" s="15">
        <v>183</v>
      </c>
      <c r="AX123" s="15">
        <v>192</v>
      </c>
      <c r="AY123" s="15">
        <v>197</v>
      </c>
      <c r="AZ123" s="15">
        <v>206</v>
      </c>
      <c r="BA123" s="15">
        <v>206</v>
      </c>
      <c r="BB123" s="15">
        <v>219</v>
      </c>
      <c r="BC123" s="15">
        <v>219</v>
      </c>
      <c r="BD123" s="15">
        <v>233</v>
      </c>
      <c r="BE123" s="71">
        <v>262</v>
      </c>
      <c r="BF123" s="77">
        <v>205</v>
      </c>
      <c r="BG123" s="78">
        <v>170</v>
      </c>
      <c r="BH123" s="78">
        <v>241</v>
      </c>
      <c r="BI123" s="78">
        <v>202</v>
      </c>
      <c r="BJ123" s="79">
        <v>157</v>
      </c>
      <c r="BK123" s="79">
        <v>132</v>
      </c>
      <c r="BL123" s="78">
        <v>185</v>
      </c>
      <c r="BM123" s="89">
        <v>157</v>
      </c>
      <c r="BN123" s="77">
        <v>205</v>
      </c>
      <c r="BO123" s="78">
        <v>170</v>
      </c>
      <c r="BP123" s="78">
        <v>241</v>
      </c>
      <c r="BQ123" s="78">
        <v>202</v>
      </c>
      <c r="BR123" s="79">
        <v>157</v>
      </c>
      <c r="BS123" s="79">
        <v>132</v>
      </c>
      <c r="BT123" s="78">
        <v>185</v>
      </c>
      <c r="BU123" s="82">
        <v>157</v>
      </c>
    </row>
    <row r="124" spans="1:73" s="81" customFormat="1" x14ac:dyDescent="0.3">
      <c r="A124" s="63">
        <v>120</v>
      </c>
      <c r="B124" s="29">
        <v>150</v>
      </c>
      <c r="C124" s="15">
        <v>164</v>
      </c>
      <c r="D124" s="15">
        <v>164</v>
      </c>
      <c r="E124" s="15">
        <v>179</v>
      </c>
      <c r="F124" s="15">
        <v>179</v>
      </c>
      <c r="G124" s="15">
        <v>207</v>
      </c>
      <c r="H124" s="15">
        <v>207</v>
      </c>
      <c r="I124" s="15">
        <v>217</v>
      </c>
      <c r="J124" s="15">
        <v>216</v>
      </c>
      <c r="K124" s="15">
        <v>216</v>
      </c>
      <c r="L124" s="15">
        <v>226</v>
      </c>
      <c r="M124" s="15">
        <v>226</v>
      </c>
      <c r="N124" s="15">
        <v>240</v>
      </c>
      <c r="O124" s="15">
        <v>251</v>
      </c>
      <c r="P124" s="15">
        <v>251</v>
      </c>
      <c r="Q124" s="15">
        <v>260</v>
      </c>
      <c r="R124" s="15">
        <v>260</v>
      </c>
      <c r="S124" s="15">
        <v>272</v>
      </c>
      <c r="T124" s="15">
        <v>272</v>
      </c>
      <c r="U124" s="15">
        <v>280</v>
      </c>
      <c r="V124" s="15">
        <v>293</v>
      </c>
      <c r="W124" s="15">
        <v>301</v>
      </c>
      <c r="X124" s="15">
        <v>314</v>
      </c>
      <c r="Y124" s="15">
        <v>314</v>
      </c>
      <c r="Z124" s="15">
        <v>350</v>
      </c>
      <c r="AA124" s="15">
        <v>350</v>
      </c>
      <c r="AB124" s="15">
        <v>373</v>
      </c>
      <c r="AC124" s="31">
        <v>397</v>
      </c>
      <c r="AD124" s="67">
        <f t="shared" si="7"/>
        <v>113</v>
      </c>
      <c r="AE124" s="61">
        <f t="shared" si="8"/>
        <v>125</v>
      </c>
      <c r="AF124" s="61">
        <f t="shared" si="9"/>
        <v>125</v>
      </c>
      <c r="AG124" s="61">
        <f t="shared" si="10"/>
        <v>137</v>
      </c>
      <c r="AH124" s="61">
        <f t="shared" si="11"/>
        <v>137</v>
      </c>
      <c r="AI124" s="15">
        <v>161</v>
      </c>
      <c r="AJ124" s="15">
        <v>161</v>
      </c>
      <c r="AK124" s="15">
        <v>169</v>
      </c>
      <c r="AL124" s="15">
        <v>171</v>
      </c>
      <c r="AM124" s="15">
        <v>171</v>
      </c>
      <c r="AN124" s="15">
        <v>179</v>
      </c>
      <c r="AO124" s="15">
        <v>179</v>
      </c>
      <c r="AP124" s="15">
        <v>184</v>
      </c>
      <c r="AQ124" s="15">
        <v>192</v>
      </c>
      <c r="AR124" s="15">
        <v>192</v>
      </c>
      <c r="AS124" s="15">
        <v>196</v>
      </c>
      <c r="AT124" s="15">
        <v>196</v>
      </c>
      <c r="AU124" s="15">
        <v>205</v>
      </c>
      <c r="AV124" s="15">
        <v>205</v>
      </c>
      <c r="AW124" s="15">
        <v>213</v>
      </c>
      <c r="AX124" s="15">
        <v>222</v>
      </c>
      <c r="AY124" s="15">
        <v>228</v>
      </c>
      <c r="AZ124" s="15">
        <v>239</v>
      </c>
      <c r="BA124" s="15">
        <v>239</v>
      </c>
      <c r="BB124" s="15">
        <v>254</v>
      </c>
      <c r="BC124" s="15">
        <v>254</v>
      </c>
      <c r="BD124" s="15">
        <v>273</v>
      </c>
      <c r="BE124" s="71">
        <v>306</v>
      </c>
      <c r="BF124" s="77">
        <v>233</v>
      </c>
      <c r="BG124" s="78">
        <v>192</v>
      </c>
      <c r="BH124" s="78">
        <v>275</v>
      </c>
      <c r="BI124" s="78">
        <v>230</v>
      </c>
      <c r="BJ124" s="79">
        <v>178</v>
      </c>
      <c r="BK124" s="79">
        <v>148</v>
      </c>
      <c r="BL124" s="78">
        <v>211</v>
      </c>
      <c r="BM124" s="89">
        <v>178</v>
      </c>
      <c r="BN124" s="77">
        <v>233</v>
      </c>
      <c r="BO124" s="78">
        <v>192</v>
      </c>
      <c r="BP124" s="78">
        <v>275</v>
      </c>
      <c r="BQ124" s="78">
        <v>230</v>
      </c>
      <c r="BR124" s="79">
        <v>178</v>
      </c>
      <c r="BS124" s="79">
        <v>148</v>
      </c>
      <c r="BT124" s="78">
        <v>211</v>
      </c>
      <c r="BU124" s="82">
        <v>178</v>
      </c>
    </row>
    <row r="125" spans="1:73" s="81" customFormat="1" x14ac:dyDescent="0.3">
      <c r="A125" s="63">
        <v>150</v>
      </c>
      <c r="B125" s="29">
        <v>171</v>
      </c>
      <c r="C125" s="15">
        <v>188</v>
      </c>
      <c r="D125" s="15">
        <v>188</v>
      </c>
      <c r="E125" s="15">
        <v>196</v>
      </c>
      <c r="F125" s="15">
        <v>196</v>
      </c>
      <c r="G125" s="15">
        <v>224</v>
      </c>
      <c r="H125" s="15">
        <v>224</v>
      </c>
      <c r="I125" s="15">
        <v>236</v>
      </c>
      <c r="J125" s="15">
        <v>247</v>
      </c>
      <c r="K125" s="15">
        <v>247</v>
      </c>
      <c r="L125" s="15">
        <v>259</v>
      </c>
      <c r="M125" s="15">
        <v>259</v>
      </c>
      <c r="N125" s="15">
        <v>276</v>
      </c>
      <c r="O125" s="15">
        <v>289</v>
      </c>
      <c r="P125" s="15">
        <v>289</v>
      </c>
      <c r="Q125" s="15">
        <v>299</v>
      </c>
      <c r="R125" s="15">
        <v>299</v>
      </c>
      <c r="S125" s="15">
        <v>313</v>
      </c>
      <c r="T125" s="15">
        <v>313</v>
      </c>
      <c r="U125" s="15">
        <v>322</v>
      </c>
      <c r="V125" s="15">
        <v>337</v>
      </c>
      <c r="W125" s="15">
        <v>343</v>
      </c>
      <c r="X125" s="15">
        <v>359</v>
      </c>
      <c r="Y125" s="15">
        <v>359</v>
      </c>
      <c r="Z125" s="15">
        <v>401</v>
      </c>
      <c r="AA125" s="15">
        <v>401</v>
      </c>
      <c r="AB125" s="15">
        <v>430</v>
      </c>
      <c r="AC125" s="31">
        <v>458</v>
      </c>
      <c r="AD125" s="67">
        <f t="shared" si="7"/>
        <v>128</v>
      </c>
      <c r="AE125" s="61">
        <f t="shared" si="8"/>
        <v>143</v>
      </c>
      <c r="AF125" s="61">
        <f t="shared" si="9"/>
        <v>143</v>
      </c>
      <c r="AG125" s="61">
        <f t="shared" si="10"/>
        <v>150</v>
      </c>
      <c r="AH125" s="61">
        <f t="shared" si="11"/>
        <v>150</v>
      </c>
      <c r="AI125" s="61">
        <f t="shared" ref="AI125:AJ128" si="12">ROUNDDOWN(G125/G124*AI124,0)</f>
        <v>174</v>
      </c>
      <c r="AJ125" s="61">
        <f t="shared" si="12"/>
        <v>174</v>
      </c>
      <c r="AK125" s="15">
        <v>187</v>
      </c>
      <c r="AL125" s="15">
        <v>196</v>
      </c>
      <c r="AM125" s="15">
        <v>196</v>
      </c>
      <c r="AN125" s="15">
        <v>205</v>
      </c>
      <c r="AO125" s="15">
        <v>205</v>
      </c>
      <c r="AP125" s="15">
        <v>213</v>
      </c>
      <c r="AQ125" s="15">
        <v>222</v>
      </c>
      <c r="AR125" s="15">
        <v>222</v>
      </c>
      <c r="AS125" s="15">
        <v>227</v>
      </c>
      <c r="AT125" s="15">
        <v>227</v>
      </c>
      <c r="AU125" s="15">
        <v>237</v>
      </c>
      <c r="AV125" s="15">
        <v>237</v>
      </c>
      <c r="AW125" s="15">
        <v>246</v>
      </c>
      <c r="AX125" s="15">
        <v>257</v>
      </c>
      <c r="AY125" s="15">
        <v>264</v>
      </c>
      <c r="AZ125" s="15">
        <v>276</v>
      </c>
      <c r="BA125" s="15">
        <v>276</v>
      </c>
      <c r="BB125" s="15">
        <v>294</v>
      </c>
      <c r="BC125" s="15">
        <v>294</v>
      </c>
      <c r="BD125" s="15">
        <v>314</v>
      </c>
      <c r="BE125" s="71">
        <v>353</v>
      </c>
      <c r="BF125" s="77">
        <v>264</v>
      </c>
      <c r="BG125" s="78">
        <v>218</v>
      </c>
      <c r="BH125" s="78">
        <v>311</v>
      </c>
      <c r="BI125" s="78">
        <v>260</v>
      </c>
      <c r="BJ125" s="79">
        <v>202</v>
      </c>
      <c r="BK125" s="79">
        <v>168</v>
      </c>
      <c r="BL125" s="78">
        <v>239</v>
      </c>
      <c r="BM125" s="89">
        <v>201</v>
      </c>
      <c r="BN125" s="77">
        <v>264</v>
      </c>
      <c r="BO125" s="78">
        <v>218</v>
      </c>
      <c r="BP125" s="78">
        <v>311</v>
      </c>
      <c r="BQ125" s="78">
        <v>260</v>
      </c>
      <c r="BR125" s="79">
        <v>202</v>
      </c>
      <c r="BS125" s="79">
        <v>168</v>
      </c>
      <c r="BT125" s="78">
        <v>239</v>
      </c>
      <c r="BU125" s="82">
        <v>201</v>
      </c>
    </row>
    <row r="126" spans="1:73" s="81" customFormat="1" x14ac:dyDescent="0.3">
      <c r="A126" s="63">
        <v>185</v>
      </c>
      <c r="B126" s="29">
        <v>194</v>
      </c>
      <c r="C126" s="15">
        <v>213</v>
      </c>
      <c r="D126" s="15">
        <v>213</v>
      </c>
      <c r="E126" s="15">
        <v>222</v>
      </c>
      <c r="F126" s="15">
        <v>222</v>
      </c>
      <c r="G126" s="15">
        <v>256</v>
      </c>
      <c r="H126" s="15">
        <v>256</v>
      </c>
      <c r="I126" s="15">
        <v>268</v>
      </c>
      <c r="J126" s="15">
        <v>281</v>
      </c>
      <c r="K126" s="15">
        <v>281</v>
      </c>
      <c r="L126" s="15">
        <v>294</v>
      </c>
      <c r="M126" s="15">
        <v>294</v>
      </c>
      <c r="N126" s="15">
        <v>314</v>
      </c>
      <c r="O126" s="15">
        <v>329</v>
      </c>
      <c r="P126" s="15">
        <v>329</v>
      </c>
      <c r="Q126" s="15">
        <v>341</v>
      </c>
      <c r="R126" s="15">
        <v>341</v>
      </c>
      <c r="S126" s="15">
        <v>356</v>
      </c>
      <c r="T126" s="15">
        <v>356</v>
      </c>
      <c r="U126" s="15">
        <v>368</v>
      </c>
      <c r="V126" s="15">
        <v>385</v>
      </c>
      <c r="W126" s="15">
        <v>391</v>
      </c>
      <c r="X126" s="15">
        <v>409</v>
      </c>
      <c r="Y126" s="15">
        <v>409</v>
      </c>
      <c r="Z126" s="15">
        <v>460</v>
      </c>
      <c r="AA126" s="15">
        <v>460</v>
      </c>
      <c r="AB126" s="15">
        <v>493</v>
      </c>
      <c r="AC126" s="31">
        <v>523</v>
      </c>
      <c r="AD126" s="67">
        <f t="shared" si="7"/>
        <v>145</v>
      </c>
      <c r="AE126" s="61">
        <f t="shared" si="8"/>
        <v>162</v>
      </c>
      <c r="AF126" s="61">
        <f t="shared" si="9"/>
        <v>162</v>
      </c>
      <c r="AG126" s="61">
        <f t="shared" si="10"/>
        <v>169</v>
      </c>
      <c r="AH126" s="61">
        <f t="shared" si="11"/>
        <v>169</v>
      </c>
      <c r="AI126" s="61">
        <f t="shared" si="12"/>
        <v>198</v>
      </c>
      <c r="AJ126" s="61">
        <f t="shared" si="12"/>
        <v>198</v>
      </c>
      <c r="AK126" s="15">
        <v>212</v>
      </c>
      <c r="AL126" s="15">
        <v>222</v>
      </c>
      <c r="AM126" s="15">
        <v>222</v>
      </c>
      <c r="AN126" s="15">
        <v>232</v>
      </c>
      <c r="AO126" s="15">
        <v>232</v>
      </c>
      <c r="AP126" s="15">
        <v>243</v>
      </c>
      <c r="AQ126" s="15">
        <v>254</v>
      </c>
      <c r="AR126" s="15">
        <v>254</v>
      </c>
      <c r="AS126" s="15">
        <v>259</v>
      </c>
      <c r="AT126" s="15">
        <v>259</v>
      </c>
      <c r="AU126" s="15">
        <v>271</v>
      </c>
      <c r="AV126" s="15">
        <v>271</v>
      </c>
      <c r="AW126" s="15">
        <v>281</v>
      </c>
      <c r="AX126" s="15">
        <v>293</v>
      </c>
      <c r="AY126" s="15">
        <v>301</v>
      </c>
      <c r="AZ126" s="15">
        <v>315</v>
      </c>
      <c r="BA126" s="15">
        <v>315</v>
      </c>
      <c r="BB126" s="15">
        <v>337</v>
      </c>
      <c r="BC126" s="15">
        <v>337</v>
      </c>
      <c r="BD126" s="15">
        <v>361</v>
      </c>
      <c r="BE126" s="71">
        <v>406</v>
      </c>
      <c r="BF126" s="77">
        <v>296</v>
      </c>
      <c r="BG126" s="78">
        <v>245</v>
      </c>
      <c r="BH126" s="78">
        <v>348</v>
      </c>
      <c r="BI126" s="78">
        <v>291</v>
      </c>
      <c r="BJ126" s="79">
        <v>227</v>
      </c>
      <c r="BK126" s="79">
        <v>190</v>
      </c>
      <c r="BL126" s="78">
        <v>267</v>
      </c>
      <c r="BM126" s="89">
        <v>226</v>
      </c>
      <c r="BN126" s="77">
        <v>296</v>
      </c>
      <c r="BO126" s="78">
        <v>245</v>
      </c>
      <c r="BP126" s="78">
        <v>348</v>
      </c>
      <c r="BQ126" s="78">
        <v>291</v>
      </c>
      <c r="BR126" s="79">
        <v>227</v>
      </c>
      <c r="BS126" s="79">
        <v>190</v>
      </c>
      <c r="BT126" s="78">
        <v>267</v>
      </c>
      <c r="BU126" s="82">
        <v>226</v>
      </c>
    </row>
    <row r="127" spans="1:73" s="81" customFormat="1" x14ac:dyDescent="0.3">
      <c r="A127" s="63">
        <v>240</v>
      </c>
      <c r="B127" s="29">
        <v>227</v>
      </c>
      <c r="C127" s="15">
        <v>249</v>
      </c>
      <c r="D127" s="15">
        <v>249</v>
      </c>
      <c r="E127" s="15">
        <v>258</v>
      </c>
      <c r="F127" s="15">
        <v>258</v>
      </c>
      <c r="G127" s="15">
        <v>299</v>
      </c>
      <c r="H127" s="15">
        <v>299</v>
      </c>
      <c r="I127" s="15">
        <v>315</v>
      </c>
      <c r="J127" s="15">
        <v>330</v>
      </c>
      <c r="K127" s="15">
        <v>330</v>
      </c>
      <c r="L127" s="15">
        <v>345</v>
      </c>
      <c r="M127" s="15">
        <v>345</v>
      </c>
      <c r="N127" s="15">
        <v>368</v>
      </c>
      <c r="O127" s="15">
        <v>385</v>
      </c>
      <c r="P127" s="15">
        <v>385</v>
      </c>
      <c r="Q127" s="15">
        <v>401</v>
      </c>
      <c r="R127" s="15">
        <v>401</v>
      </c>
      <c r="S127" s="15">
        <v>419</v>
      </c>
      <c r="T127" s="15">
        <v>419</v>
      </c>
      <c r="U127" s="15">
        <v>435</v>
      </c>
      <c r="V127" s="15">
        <v>455</v>
      </c>
      <c r="W127" s="15">
        <v>468</v>
      </c>
      <c r="X127" s="15">
        <v>489</v>
      </c>
      <c r="Y127" s="15">
        <v>489</v>
      </c>
      <c r="Z127" s="15">
        <v>545</v>
      </c>
      <c r="AA127" s="15">
        <v>545</v>
      </c>
      <c r="AB127" s="15">
        <v>583</v>
      </c>
      <c r="AC127" s="31">
        <v>617</v>
      </c>
      <c r="AD127" s="67">
        <f t="shared" si="7"/>
        <v>169</v>
      </c>
      <c r="AE127" s="61">
        <f t="shared" si="8"/>
        <v>189</v>
      </c>
      <c r="AF127" s="61">
        <f t="shared" si="9"/>
        <v>189</v>
      </c>
      <c r="AG127" s="61">
        <f t="shared" si="10"/>
        <v>196</v>
      </c>
      <c r="AH127" s="61">
        <f t="shared" si="11"/>
        <v>196</v>
      </c>
      <c r="AI127" s="61">
        <f t="shared" si="12"/>
        <v>231</v>
      </c>
      <c r="AJ127" s="61">
        <f t="shared" si="12"/>
        <v>231</v>
      </c>
      <c r="AK127" s="15">
        <v>248</v>
      </c>
      <c r="AL127" s="15">
        <v>261</v>
      </c>
      <c r="AM127" s="15">
        <v>261</v>
      </c>
      <c r="AN127" s="15">
        <v>273</v>
      </c>
      <c r="AO127" s="15">
        <v>273</v>
      </c>
      <c r="AP127" s="15">
        <v>287</v>
      </c>
      <c r="AQ127" s="15">
        <v>300</v>
      </c>
      <c r="AR127" s="15">
        <v>300</v>
      </c>
      <c r="AS127" s="15">
        <v>306</v>
      </c>
      <c r="AT127" s="15">
        <v>306</v>
      </c>
      <c r="AU127" s="15">
        <v>320</v>
      </c>
      <c r="AV127" s="15">
        <v>320</v>
      </c>
      <c r="AW127" s="15">
        <v>332</v>
      </c>
      <c r="AX127" s="15">
        <v>347</v>
      </c>
      <c r="AY127" s="15">
        <v>355</v>
      </c>
      <c r="AZ127" s="15">
        <v>372</v>
      </c>
      <c r="BA127" s="15">
        <v>372</v>
      </c>
      <c r="BB127" s="15">
        <v>399</v>
      </c>
      <c r="BC127" s="15">
        <v>399</v>
      </c>
      <c r="BD127" s="15">
        <v>427</v>
      </c>
      <c r="BE127" s="71">
        <v>482</v>
      </c>
      <c r="BF127" s="77">
        <v>342</v>
      </c>
      <c r="BG127" s="78">
        <v>282</v>
      </c>
      <c r="BH127" s="78">
        <v>402</v>
      </c>
      <c r="BI127" s="78">
        <v>336</v>
      </c>
      <c r="BJ127" s="79">
        <v>262</v>
      </c>
      <c r="BK127" s="79">
        <v>219</v>
      </c>
      <c r="BL127" s="78">
        <v>309</v>
      </c>
      <c r="BM127" s="89">
        <v>261</v>
      </c>
      <c r="BN127" s="77">
        <v>342</v>
      </c>
      <c r="BO127" s="78">
        <v>282</v>
      </c>
      <c r="BP127" s="78">
        <v>402</v>
      </c>
      <c r="BQ127" s="78">
        <v>336</v>
      </c>
      <c r="BR127" s="79">
        <v>262</v>
      </c>
      <c r="BS127" s="79">
        <v>219</v>
      </c>
      <c r="BT127" s="78">
        <v>309</v>
      </c>
      <c r="BU127" s="82">
        <v>261</v>
      </c>
    </row>
    <row r="128" spans="1:73" s="81" customFormat="1" ht="15" thickBot="1" x14ac:dyDescent="0.35">
      <c r="A128" s="64">
        <v>300</v>
      </c>
      <c r="B128" s="32">
        <v>259</v>
      </c>
      <c r="C128" s="28">
        <v>285</v>
      </c>
      <c r="D128" s="28">
        <v>285</v>
      </c>
      <c r="E128" s="28">
        <v>295</v>
      </c>
      <c r="F128" s="28">
        <v>295</v>
      </c>
      <c r="G128" s="28">
        <v>343</v>
      </c>
      <c r="H128" s="28">
        <v>343</v>
      </c>
      <c r="I128" s="28">
        <v>360</v>
      </c>
      <c r="J128" s="28">
        <v>398</v>
      </c>
      <c r="K128" s="28">
        <v>398</v>
      </c>
      <c r="L128" s="28">
        <v>396</v>
      </c>
      <c r="M128" s="28">
        <v>396</v>
      </c>
      <c r="N128" s="28">
        <v>432</v>
      </c>
      <c r="O128" s="28">
        <v>414</v>
      </c>
      <c r="P128" s="28">
        <v>414</v>
      </c>
      <c r="Q128" s="28">
        <v>461</v>
      </c>
      <c r="R128" s="28">
        <v>461</v>
      </c>
      <c r="S128" s="28">
        <v>468</v>
      </c>
      <c r="T128" s="28">
        <v>468</v>
      </c>
      <c r="U128" s="28">
        <v>516</v>
      </c>
      <c r="V128" s="28">
        <v>524</v>
      </c>
      <c r="W128" s="28">
        <v>547</v>
      </c>
      <c r="X128" s="28">
        <v>549</v>
      </c>
      <c r="Y128" s="28">
        <v>549</v>
      </c>
      <c r="Z128" s="28">
        <v>630</v>
      </c>
      <c r="AA128" s="28">
        <v>630</v>
      </c>
      <c r="AB128" s="28">
        <v>674</v>
      </c>
      <c r="AC128" s="33">
        <v>713</v>
      </c>
      <c r="AD128" s="68">
        <f t="shared" si="7"/>
        <v>192</v>
      </c>
      <c r="AE128" s="69">
        <f t="shared" si="8"/>
        <v>216</v>
      </c>
      <c r="AF128" s="69">
        <f t="shared" si="9"/>
        <v>216</v>
      </c>
      <c r="AG128" s="69">
        <f t="shared" si="10"/>
        <v>224</v>
      </c>
      <c r="AH128" s="69">
        <f t="shared" si="11"/>
        <v>224</v>
      </c>
      <c r="AI128" s="69">
        <f t="shared" si="12"/>
        <v>264</v>
      </c>
      <c r="AJ128" s="69">
        <f t="shared" si="12"/>
        <v>264</v>
      </c>
      <c r="AK128" s="28">
        <v>285</v>
      </c>
      <c r="AL128" s="69">
        <f>ROUNDDOWN(J128/J127*AL127,0)</f>
        <v>314</v>
      </c>
      <c r="AM128" s="69">
        <f>ROUNDDOWN(K128/K127*AM127,0)</f>
        <v>314</v>
      </c>
      <c r="AN128" s="28">
        <v>313</v>
      </c>
      <c r="AO128" s="28">
        <v>313</v>
      </c>
      <c r="AP128" s="69">
        <f>ROUNDDOWN(N128/N127*AP127,0)</f>
        <v>336</v>
      </c>
      <c r="AQ128" s="28">
        <v>331</v>
      </c>
      <c r="AR128" s="28">
        <v>331</v>
      </c>
      <c r="AS128" s="69">
        <f>ROUNDDOWN(Q128/Q127*AS127,0)</f>
        <v>351</v>
      </c>
      <c r="AT128" s="69">
        <f>ROUNDDOWN(R128/R127*AT127,0)</f>
        <v>351</v>
      </c>
      <c r="AU128" s="28">
        <v>366</v>
      </c>
      <c r="AV128" s="28">
        <v>366</v>
      </c>
      <c r="AW128" s="69">
        <f>ROUNDDOWN(U128/U127*AW127,0)</f>
        <v>393</v>
      </c>
      <c r="AX128" s="28">
        <v>400</v>
      </c>
      <c r="AY128" s="69">
        <f>ROUNDDOWN(W128/W127*AY127,0)</f>
        <v>414</v>
      </c>
      <c r="AZ128" s="28">
        <v>429</v>
      </c>
      <c r="BA128" s="28">
        <v>429</v>
      </c>
      <c r="BB128" s="28">
        <v>462</v>
      </c>
      <c r="BC128" s="28">
        <v>462</v>
      </c>
      <c r="BD128" s="28">
        <v>494</v>
      </c>
      <c r="BE128" s="72">
        <v>558</v>
      </c>
      <c r="BF128" s="83">
        <v>387</v>
      </c>
      <c r="BG128" s="84">
        <v>319</v>
      </c>
      <c r="BH128" s="84">
        <v>455</v>
      </c>
      <c r="BI128" s="84">
        <v>380</v>
      </c>
      <c r="BJ128" s="85">
        <v>296</v>
      </c>
      <c r="BK128" s="85">
        <v>247</v>
      </c>
      <c r="BL128" s="84">
        <v>349</v>
      </c>
      <c r="BM128" s="90">
        <v>295</v>
      </c>
      <c r="BN128" s="83">
        <v>387</v>
      </c>
      <c r="BO128" s="84">
        <v>319</v>
      </c>
      <c r="BP128" s="84">
        <v>455</v>
      </c>
      <c r="BQ128" s="84">
        <v>380</v>
      </c>
      <c r="BR128" s="85">
        <v>296</v>
      </c>
      <c r="BS128" s="85">
        <v>247</v>
      </c>
      <c r="BT128" s="84">
        <v>349</v>
      </c>
      <c r="BU128" s="86">
        <v>295</v>
      </c>
    </row>
    <row r="129" spans="1:50" s="1" customFormat="1" x14ac:dyDescent="0.3">
      <c r="AC129" s="2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</row>
    <row r="130" spans="1:50" s="1" customFormat="1" x14ac:dyDescent="0.3">
      <c r="AC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</row>
    <row r="131" spans="1:50" s="1" customFormat="1" x14ac:dyDescent="0.3">
      <c r="B131" s="1" t="str">
        <f>IFERROR(_xlfn.IFS(#REF!&lt;B129,"OJO",#REF!&lt;#REF!,"OJO"),"")</f>
        <v/>
      </c>
      <c r="AC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</row>
    <row r="132" spans="1:50" s="1" customFormat="1" x14ac:dyDescent="0.3">
      <c r="B132" s="1" t="str">
        <f>IFERROR(_xlfn.IFS(#REF!&lt;#REF!,"OJO",#REF!&lt;#REF!,"OJO"),"")</f>
        <v/>
      </c>
      <c r="AC132" s="3"/>
      <c r="AE132" s="3"/>
      <c r="AF132" s="3"/>
      <c r="AG132" s="3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0"/>
      <c r="AV132" s="20"/>
      <c r="AW132" s="20"/>
      <c r="AX132" s="20"/>
    </row>
    <row r="133" spans="1:50" s="1" customFormat="1" x14ac:dyDescent="0.3">
      <c r="B133" s="1" t="str">
        <f>IFERROR(_xlfn.IFS(#REF!&lt;#REF!,"OJO",#REF!&lt;#REF!,"OJO"),"")</f>
        <v/>
      </c>
      <c r="AC133" s="3"/>
      <c r="AE133" s="3"/>
      <c r="AF133" s="3"/>
      <c r="AG133" s="3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0"/>
      <c r="AV133" s="20"/>
      <c r="AW133" s="20"/>
      <c r="AX133" s="20"/>
    </row>
    <row r="134" spans="1:50" s="1" customFormat="1" x14ac:dyDescent="0.3">
      <c r="AC134" s="3"/>
      <c r="AE134" s="3"/>
      <c r="AF134" s="3"/>
      <c r="AG134" s="3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0"/>
      <c r="AV134" s="20"/>
      <c r="AW134" s="20"/>
      <c r="AX134" s="20"/>
    </row>
    <row r="135" spans="1:50" s="1" customFormat="1" x14ac:dyDescent="0.3">
      <c r="AC135" s="3"/>
      <c r="AE135" s="3"/>
      <c r="AF135" s="3"/>
      <c r="AG135" s="3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0"/>
      <c r="AV135" s="20"/>
      <c r="AW135" s="20"/>
      <c r="AX135" s="20"/>
    </row>
    <row r="136" spans="1:50" s="1" customFormat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2"/>
      <c r="AI136" s="2"/>
      <c r="AJ136" s="2"/>
      <c r="AK136" s="2"/>
      <c r="AL136" s="2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</row>
    <row r="137" spans="1:50" s="1" customForma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2"/>
      <c r="AI137" s="2"/>
      <c r="AJ137" s="2"/>
      <c r="AK137" s="2"/>
      <c r="AL137" s="2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</row>
    <row r="138" spans="1:50" s="1" customFormat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</row>
    <row r="139" spans="1:50" s="1" customFormat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2"/>
      <c r="AJ139" s="2"/>
      <c r="AK139" s="2"/>
      <c r="AL139" s="20"/>
      <c r="AM139" s="20"/>
      <c r="AN139" s="20"/>
    </row>
    <row r="140" spans="1:50" s="1" customFormat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2"/>
      <c r="AJ140" s="2"/>
      <c r="AK140" s="2"/>
      <c r="AL140" s="20"/>
      <c r="AM140" s="20"/>
      <c r="AN140" s="20"/>
    </row>
    <row r="141" spans="1:50" s="1" customFormat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2"/>
      <c r="AJ141" s="2"/>
      <c r="AK141" s="2"/>
      <c r="AL141" s="20"/>
      <c r="AM141" s="20"/>
      <c r="AN141" s="20"/>
    </row>
    <row r="142" spans="1:50" s="1" customFormat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2"/>
      <c r="AJ142" s="2"/>
      <c r="AK142" s="2"/>
      <c r="AL142" s="20"/>
      <c r="AM142" s="20"/>
      <c r="AN142" s="20"/>
    </row>
    <row r="143" spans="1:50" s="1" customFormat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2"/>
      <c r="AJ143" s="2"/>
      <c r="AK143" s="2"/>
      <c r="AL143" s="20"/>
      <c r="AM143" s="20"/>
      <c r="AN143" s="20"/>
    </row>
    <row r="144" spans="1:50" s="1" customFormat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2"/>
      <c r="AJ144" s="2"/>
      <c r="AK144" s="2"/>
      <c r="AL144" s="20"/>
      <c r="AM144" s="20"/>
      <c r="AN144" s="20"/>
    </row>
    <row r="145" spans="1:46" s="1" customForma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2"/>
      <c r="AJ145" s="2"/>
      <c r="AK145" s="2"/>
      <c r="AL145" s="20"/>
      <c r="AM145" s="20"/>
      <c r="AN145" s="20"/>
    </row>
    <row r="146" spans="1:46" s="1" customFormat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2"/>
      <c r="AJ146" s="2"/>
      <c r="AK146" s="2"/>
      <c r="AL146" s="20"/>
      <c r="AM146" s="20"/>
      <c r="AN146" s="20"/>
    </row>
    <row r="147" spans="1:46" s="1" customFormat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2"/>
      <c r="AJ147" s="2"/>
      <c r="AK147" s="2"/>
      <c r="AL147" s="20"/>
      <c r="AM147" s="20"/>
      <c r="AN147" s="20"/>
    </row>
    <row r="148" spans="1:46" s="1" customFormat="1" x14ac:dyDescent="0.3">
      <c r="AC148" s="3"/>
      <c r="AE148" s="3"/>
      <c r="AF148" s="3"/>
      <c r="AG148" s="3"/>
      <c r="AH148" s="3"/>
      <c r="AI148" s="2"/>
      <c r="AJ148" s="2"/>
      <c r="AK148" s="2"/>
      <c r="AL148" s="2"/>
      <c r="AM148" s="2"/>
      <c r="AN148" s="2"/>
      <c r="AO148" s="3"/>
      <c r="AP148" s="3"/>
      <c r="AQ148" s="3"/>
      <c r="AR148" s="3"/>
      <c r="AS148" s="3"/>
      <c r="AT148" s="3"/>
    </row>
    <row r="149" spans="1:46" s="1" customFormat="1" x14ac:dyDescent="0.3">
      <c r="B149" s="1" t="str">
        <f>IFERROR(_xlfn.IFS(#REF!&lt;B147,"OJO",#REF!&lt;#REF!,"OJO"),"")</f>
        <v/>
      </c>
      <c r="AC149" s="3"/>
      <c r="AE149" s="3"/>
      <c r="AF149" s="3"/>
      <c r="AG149" s="3"/>
      <c r="AH149" s="3"/>
      <c r="AI149" s="2"/>
      <c r="AJ149" s="2"/>
      <c r="AK149" s="2"/>
      <c r="AL149" s="2"/>
      <c r="AM149" s="2"/>
      <c r="AN149" s="2"/>
      <c r="AO149" s="3"/>
      <c r="AP149" s="3"/>
      <c r="AQ149" s="3"/>
      <c r="AR149" s="3"/>
      <c r="AS149" s="3"/>
      <c r="AT149" s="3"/>
    </row>
    <row r="150" spans="1:46" s="1" customFormat="1" x14ac:dyDescent="0.3">
      <c r="B150" s="1" t="str">
        <f>IFERROR(_xlfn.IFS(#REF!&lt;#REF!,"OJO",#REF!&lt;#REF!,"OJO"),"")</f>
        <v/>
      </c>
      <c r="AC150" s="3"/>
      <c r="AE150" s="3"/>
      <c r="AF150" s="3"/>
      <c r="AG150" s="3"/>
      <c r="AH150" s="3"/>
      <c r="AI150" s="2"/>
      <c r="AJ150" s="2"/>
      <c r="AK150" s="2"/>
      <c r="AL150" s="2"/>
      <c r="AM150" s="2"/>
      <c r="AN150" s="2"/>
      <c r="AO150" s="3"/>
      <c r="AP150" s="3"/>
      <c r="AQ150" s="3"/>
      <c r="AR150" s="3"/>
      <c r="AS150" s="3"/>
      <c r="AT150" s="3"/>
    </row>
    <row r="151" spans="1:46" s="1" customFormat="1" x14ac:dyDescent="0.3">
      <c r="B151" s="1" t="str">
        <f>IFERROR(_xlfn.IFS(#REF!&lt;#REF!,"OJO",#REF!&lt;#REF!,"OJO"),"")</f>
        <v/>
      </c>
      <c r="AC151" s="3"/>
      <c r="AE151" s="3"/>
      <c r="AF151" s="3"/>
      <c r="AG151" s="3"/>
      <c r="AH151" s="3"/>
      <c r="AI151" s="2"/>
      <c r="AJ151" s="2"/>
      <c r="AK151" s="2"/>
      <c r="AL151" s="2"/>
      <c r="AM151" s="2"/>
      <c r="AN151" s="2"/>
      <c r="AO151" s="3"/>
      <c r="AP151" s="3"/>
      <c r="AQ151" s="3"/>
      <c r="AR151" s="3"/>
      <c r="AS151" s="3"/>
      <c r="AT151" s="3"/>
    </row>
    <row r="152" spans="1:46" s="1" customFormat="1" x14ac:dyDescent="0.3">
      <c r="AC152" s="3"/>
      <c r="AE152" s="3"/>
      <c r="AF152" s="3"/>
      <c r="AG152" s="3"/>
      <c r="AH152" s="3"/>
      <c r="AI152" s="2"/>
      <c r="AJ152" s="2"/>
      <c r="AK152" s="2"/>
      <c r="AL152" s="2"/>
      <c r="AM152" s="2"/>
      <c r="AN152" s="2"/>
      <c r="AO152" s="3"/>
      <c r="AP152" s="3"/>
      <c r="AQ152" s="3"/>
      <c r="AR152" s="3"/>
      <c r="AS152" s="3"/>
      <c r="AT152" s="3"/>
    </row>
    <row r="153" spans="1:46" s="1" customFormat="1" x14ac:dyDescent="0.3">
      <c r="AC153" s="3"/>
      <c r="AE153" s="3"/>
      <c r="AF153" s="3"/>
      <c r="AG153" s="3"/>
      <c r="AH153" s="3"/>
      <c r="AI153" s="2"/>
      <c r="AJ153" s="2"/>
      <c r="AK153" s="2"/>
      <c r="AL153" s="2"/>
      <c r="AM153" s="2"/>
      <c r="AN153" s="2"/>
      <c r="AO153" s="3"/>
      <c r="AP153" s="3"/>
      <c r="AQ153" s="3"/>
      <c r="AR153" s="3"/>
      <c r="AS153" s="3"/>
      <c r="AT153" s="3"/>
    </row>
    <row r="154" spans="1:46" s="1" customForma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2"/>
      <c r="AJ154" s="2"/>
      <c r="AK154" s="2"/>
      <c r="AL154" s="2"/>
      <c r="AM154" s="20"/>
      <c r="AN154" s="20"/>
    </row>
    <row r="155" spans="1:46" s="1" customFormat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</row>
    <row r="156" spans="1:46" s="1" customFormat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</row>
    <row r="157" spans="1:46" s="1" customFormat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</row>
    <row r="158" spans="1:46" s="1" customFormat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</row>
    <row r="159" spans="1:46" s="1" customFormat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</row>
    <row r="160" spans="1:46" s="1" customFormat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</row>
    <row r="161" spans="1:46" s="1" customFormat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</row>
    <row r="162" spans="1:46" s="1" customFormat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</row>
    <row r="163" spans="1:46" s="1" customFormat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</row>
    <row r="164" spans="1:46" s="1" customFormat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</row>
    <row r="165" spans="1:46" s="1" customFormat="1" x14ac:dyDescent="0.3">
      <c r="AC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</row>
    <row r="166" spans="1:46" s="1" customFormat="1" x14ac:dyDescent="0.3">
      <c r="B166" s="1" t="str">
        <f>IFERROR(_xlfn.IFS(#REF!&lt;B164,"OJO",#REF!&lt;#REF!,"OJO"),"")</f>
        <v/>
      </c>
      <c r="AC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</row>
    <row r="167" spans="1:46" s="1" customFormat="1" x14ac:dyDescent="0.3">
      <c r="B167" s="1" t="str">
        <f>IFERROR(_xlfn.IFS(#REF!&lt;#REF!,"OJO",#REF!&lt;#REF!,"OJO"),"")</f>
        <v/>
      </c>
      <c r="AC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</row>
    <row r="168" spans="1:46" s="1" customFormat="1" x14ac:dyDescent="0.3">
      <c r="B168" s="1" t="str">
        <f>IFERROR(_xlfn.IFS(#REF!&lt;#REF!,"OJO",#REF!&lt;#REF!,"OJO"),"")</f>
        <v/>
      </c>
      <c r="AC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</row>
    <row r="169" spans="1:46" s="1" customFormat="1" x14ac:dyDescent="0.3">
      <c r="AC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</row>
    <row r="170" spans="1:46" s="1" customFormat="1" x14ac:dyDescent="0.3">
      <c r="AC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</row>
    <row r="171" spans="1:46" s="1" customFormat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</row>
    <row r="172" spans="1:46" s="1" customFormat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</row>
    <row r="173" spans="1:46" s="1" customFormat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</row>
    <row r="174" spans="1:46" s="1" customFormat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</row>
    <row r="175" spans="1:46" s="1" customFormat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</row>
    <row r="176" spans="1:46" s="1" customFormat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</row>
    <row r="177" spans="1:46" s="1" customFormat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</row>
    <row r="178" spans="1:46" s="1" customFormat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</row>
    <row r="179" spans="1:46" s="1" customFormat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</row>
    <row r="180" spans="1:46" s="1" customFormat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</row>
    <row r="181" spans="1:46" s="1" customFormat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</row>
    <row r="182" spans="1:46" s="1" customFormat="1" x14ac:dyDescent="0.3">
      <c r="AC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</row>
    <row r="183" spans="1:46" s="1" customFormat="1" x14ac:dyDescent="0.3">
      <c r="B183" s="1" t="str">
        <f>IFERROR(_xlfn.IFS(#REF!&lt;B181,"OJO",#REF!&lt;#REF!,"OJO"),"")</f>
        <v/>
      </c>
      <c r="AC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</row>
    <row r="184" spans="1:46" s="1" customFormat="1" x14ac:dyDescent="0.3">
      <c r="B184" s="1" t="str">
        <f>IFERROR(_xlfn.IFS(#REF!&lt;#REF!,"OJO",#REF!&lt;#REF!,"OJO"),"")</f>
        <v/>
      </c>
      <c r="AC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</row>
    <row r="185" spans="1:46" s="1" customFormat="1" x14ac:dyDescent="0.3">
      <c r="B185" s="1" t="str">
        <f>IFERROR(_xlfn.IFS(#REF!&lt;#REF!,"OJO",#REF!&lt;#REF!,"OJO"),"")</f>
        <v/>
      </c>
      <c r="AC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</row>
    <row r="186" spans="1:46" s="1" customFormat="1" x14ac:dyDescent="0.3">
      <c r="AC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</row>
    <row r="187" spans="1:46" s="1" customFormat="1" x14ac:dyDescent="0.3">
      <c r="AC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</row>
    <row r="188" spans="1:46" s="1" customForma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</row>
    <row r="189" spans="1:46" s="1" customFormat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</row>
    <row r="190" spans="1:46" s="1" customFormat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</row>
    <row r="191" spans="1:46" s="1" customFormat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</row>
    <row r="192" spans="1:46" s="1" customFormat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</row>
    <row r="193" spans="1:37" s="1" customFormat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</row>
    <row r="194" spans="1:37" s="1" customFormat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</row>
    <row r="195" spans="1:37" s="1" customFormat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</row>
    <row r="196" spans="1:37" s="1" customFormat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</row>
    <row r="197" spans="1:37" s="1" customFormat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</row>
    <row r="198" spans="1:37" s="1" customFormat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</row>
    <row r="1000" spans="1:1" x14ac:dyDescent="0.3">
      <c r="A1000" s="126" t="s">
        <v>189</v>
      </c>
    </row>
  </sheetData>
  <mergeCells count="17">
    <mergeCell ref="C88:D88"/>
    <mergeCell ref="A87:D87"/>
    <mergeCell ref="A74:D74"/>
    <mergeCell ref="BF107:BM107"/>
    <mergeCell ref="BN107:BU107"/>
    <mergeCell ref="A88:B88"/>
    <mergeCell ref="A1:L1"/>
    <mergeCell ref="A80:B80"/>
    <mergeCell ref="B26:B27"/>
    <mergeCell ref="A25:L25"/>
    <mergeCell ref="A26:A27"/>
    <mergeCell ref="C26:D26"/>
    <mergeCell ref="E26:E27"/>
    <mergeCell ref="F26:G26"/>
    <mergeCell ref="H26:J26"/>
    <mergeCell ref="K26:L26"/>
    <mergeCell ref="A50:J50"/>
  </mergeCells>
  <phoneticPr fontId="3" type="noConversion"/>
  <dataValidations disablePrompts="1" count="4">
    <dataValidation type="list" allowBlank="1" showInputMessage="1" showErrorMessage="1" sqref="B108:BE108" xr:uid="{98714A05-E0FE-4E13-9DDA-3677E5A13372}">
      <formula1>$J$3:$J$5</formula1>
    </dataValidation>
    <dataValidation type="list" allowBlank="1" showInputMessage="1" showErrorMessage="1" sqref="B110:BE110" xr:uid="{A4D5C7F6-E960-45B6-99F1-BAEB21F366E7}">
      <formula1>$F$3:$F$5</formula1>
    </dataValidation>
    <dataValidation type="list" allowBlank="1" showInputMessage="1" showErrorMessage="1" sqref="B109:BE109" xr:uid="{2687C1F1-EE7D-4F69-8263-A7370AEC476F}">
      <formula1>$A$28:$A$37</formula1>
    </dataValidation>
    <dataValidation type="list" allowBlank="1" showInputMessage="1" showErrorMessage="1" sqref="B111:BE111" xr:uid="{6354B7A2-D98D-42FC-8B4C-E88EA812FA56}">
      <formula1>$D$3:$D$5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69CBE-2CF4-4508-BE9D-A165A1C62445}">
  <dimension ref="A1:A168"/>
  <sheetViews>
    <sheetView workbookViewId="0">
      <selection activeCell="D12" sqref="D12"/>
    </sheetView>
  </sheetViews>
  <sheetFormatPr baseColWidth="10" defaultColWidth="8.88671875" defaultRowHeight="14.4" x14ac:dyDescent="0.3"/>
  <cols>
    <col min="1" max="26" width="15.77734375" customWidth="1"/>
  </cols>
  <sheetData>
    <row r="1" s="1" customFormat="1" x14ac:dyDescent="0.3"/>
    <row r="2" s="1" customFormat="1" x14ac:dyDescent="0.3"/>
    <row r="3" s="1" customFormat="1" x14ac:dyDescent="0.3"/>
    <row r="4" s="1" customFormat="1" x14ac:dyDescent="0.3"/>
    <row r="5" s="1" customFormat="1" x14ac:dyDescent="0.3"/>
    <row r="6" s="1" customFormat="1" x14ac:dyDescent="0.3"/>
    <row r="7" s="1" customFormat="1" x14ac:dyDescent="0.3"/>
    <row r="8" s="1" customFormat="1" x14ac:dyDescent="0.3"/>
    <row r="9" s="1" customFormat="1" x14ac:dyDescent="0.3"/>
    <row r="10" s="1" customFormat="1" x14ac:dyDescent="0.3"/>
    <row r="11" s="1" customFormat="1" x14ac:dyDescent="0.3"/>
    <row r="12" s="1" customFormat="1" x14ac:dyDescent="0.3"/>
    <row r="13" s="1" customFormat="1" x14ac:dyDescent="0.3"/>
    <row r="14" s="1" customFormat="1" x14ac:dyDescent="0.3"/>
    <row r="15" s="1" customFormat="1" x14ac:dyDescent="0.3"/>
    <row r="16" s="1" customFormat="1" x14ac:dyDescent="0.3"/>
    <row r="17" s="1" customFormat="1" x14ac:dyDescent="0.3"/>
    <row r="18" s="1" customFormat="1" x14ac:dyDescent="0.3"/>
    <row r="19" s="1" customFormat="1" x14ac:dyDescent="0.3"/>
    <row r="20" s="1" customFormat="1" x14ac:dyDescent="0.3"/>
    <row r="21" s="1" customFormat="1" x14ac:dyDescent="0.3"/>
    <row r="22" s="1" customFormat="1" x14ac:dyDescent="0.3"/>
    <row r="23" s="1" customFormat="1" x14ac:dyDescent="0.3"/>
    <row r="24" s="1" customFormat="1" x14ac:dyDescent="0.3"/>
    <row r="25" s="1" customFormat="1" x14ac:dyDescent="0.3"/>
    <row r="26" s="1" customFormat="1" x14ac:dyDescent="0.3"/>
    <row r="27" s="1" customFormat="1" x14ac:dyDescent="0.3"/>
    <row r="28" s="1" customFormat="1" x14ac:dyDescent="0.3"/>
    <row r="29" s="1" customFormat="1" x14ac:dyDescent="0.3"/>
    <row r="30" s="1" customFormat="1" x14ac:dyDescent="0.3"/>
    <row r="31" s="1" customFormat="1" x14ac:dyDescent="0.3"/>
    <row r="32" s="1" customFormat="1" x14ac:dyDescent="0.3"/>
    <row r="33" s="1" customFormat="1" x14ac:dyDescent="0.3"/>
    <row r="34" s="1" customFormat="1" x14ac:dyDescent="0.3"/>
    <row r="35" s="1" customFormat="1" x14ac:dyDescent="0.3"/>
    <row r="36" s="1" customFormat="1" x14ac:dyDescent="0.3"/>
    <row r="37" s="1" customFormat="1" x14ac:dyDescent="0.3"/>
    <row r="38" s="1" customFormat="1" x14ac:dyDescent="0.3"/>
    <row r="39" s="1" customFormat="1" x14ac:dyDescent="0.3"/>
    <row r="40" s="1" customFormat="1" x14ac:dyDescent="0.3"/>
    <row r="41" s="1" customFormat="1" x14ac:dyDescent="0.3"/>
    <row r="42" s="1" customFormat="1" x14ac:dyDescent="0.3"/>
    <row r="43" s="1" customFormat="1" x14ac:dyDescent="0.3"/>
    <row r="44" s="1" customFormat="1" x14ac:dyDescent="0.3"/>
    <row r="45" s="1" customFormat="1" x14ac:dyDescent="0.3"/>
    <row r="46" s="1" customFormat="1" x14ac:dyDescent="0.3"/>
    <row r="47" s="1" customFormat="1" x14ac:dyDescent="0.3"/>
    <row r="48" s="1" customFormat="1" x14ac:dyDescent="0.3"/>
    <row r="49" s="1" customFormat="1" x14ac:dyDescent="0.3"/>
    <row r="50" s="1" customFormat="1" x14ac:dyDescent="0.3"/>
    <row r="51" s="1" customFormat="1" x14ac:dyDescent="0.3"/>
    <row r="52" s="1" customFormat="1" x14ac:dyDescent="0.3"/>
    <row r="53" s="1" customFormat="1" x14ac:dyDescent="0.3"/>
    <row r="54" s="1" customFormat="1" x14ac:dyDescent="0.3"/>
    <row r="55" s="1" customFormat="1" x14ac:dyDescent="0.3"/>
    <row r="56" s="1" customFormat="1" x14ac:dyDescent="0.3"/>
    <row r="57" s="1" customFormat="1" x14ac:dyDescent="0.3"/>
    <row r="58" s="1" customFormat="1" x14ac:dyDescent="0.3"/>
    <row r="59" s="1" customFormat="1" x14ac:dyDescent="0.3"/>
    <row r="60" s="1" customFormat="1" x14ac:dyDescent="0.3"/>
    <row r="61" s="1" customFormat="1" x14ac:dyDescent="0.3"/>
    <row r="62" s="1" customFormat="1" x14ac:dyDescent="0.3"/>
    <row r="63" s="1" customFormat="1" x14ac:dyDescent="0.3"/>
    <row r="64" s="1" customFormat="1" x14ac:dyDescent="0.3"/>
    <row r="65" s="1" customFormat="1" x14ac:dyDescent="0.3"/>
    <row r="66" s="1" customFormat="1" x14ac:dyDescent="0.3"/>
    <row r="67" s="1" customFormat="1" x14ac:dyDescent="0.3"/>
    <row r="68" s="1" customFormat="1" x14ac:dyDescent="0.3"/>
    <row r="69" s="1" customFormat="1" x14ac:dyDescent="0.3"/>
    <row r="70" s="1" customFormat="1" x14ac:dyDescent="0.3"/>
    <row r="71" s="1" customFormat="1" x14ac:dyDescent="0.3"/>
    <row r="72" s="1" customFormat="1" x14ac:dyDescent="0.3"/>
    <row r="73" s="1" customFormat="1" x14ac:dyDescent="0.3"/>
    <row r="74" s="1" customFormat="1" x14ac:dyDescent="0.3"/>
    <row r="75" s="1" customFormat="1" x14ac:dyDescent="0.3"/>
    <row r="76" s="1" customFormat="1" x14ac:dyDescent="0.3"/>
    <row r="77" s="1" customFormat="1" x14ac:dyDescent="0.3"/>
    <row r="78" s="1" customFormat="1" x14ac:dyDescent="0.3"/>
    <row r="79" s="1" customFormat="1" x14ac:dyDescent="0.3"/>
    <row r="80" s="1" customFormat="1" x14ac:dyDescent="0.3"/>
    <row r="81" s="1" customFormat="1" x14ac:dyDescent="0.3"/>
    <row r="82" s="1" customFormat="1" x14ac:dyDescent="0.3"/>
    <row r="83" s="1" customFormat="1" x14ac:dyDescent="0.3"/>
    <row r="84" s="1" customFormat="1" x14ac:dyDescent="0.3"/>
    <row r="85" s="1" customFormat="1" x14ac:dyDescent="0.3"/>
    <row r="86" s="1" customFormat="1" x14ac:dyDescent="0.3"/>
    <row r="87" s="1" customFormat="1" x14ac:dyDescent="0.3"/>
    <row r="88" s="1" customFormat="1" x14ac:dyDescent="0.3"/>
    <row r="89" s="1" customFormat="1" x14ac:dyDescent="0.3"/>
    <row r="90" s="1" customFormat="1" x14ac:dyDescent="0.3"/>
    <row r="91" s="1" customFormat="1" x14ac:dyDescent="0.3"/>
    <row r="92" s="1" customFormat="1" x14ac:dyDescent="0.3"/>
    <row r="93" s="1" customFormat="1" x14ac:dyDescent="0.3"/>
    <row r="94" s="1" customFormat="1" x14ac:dyDescent="0.3"/>
    <row r="95" s="1" customFormat="1" x14ac:dyDescent="0.3"/>
    <row r="96" s="1" customFormat="1" x14ac:dyDescent="0.3"/>
    <row r="97" s="1" customFormat="1" x14ac:dyDescent="0.3"/>
    <row r="98" s="1" customFormat="1" x14ac:dyDescent="0.3"/>
    <row r="99" s="1" customFormat="1" x14ac:dyDescent="0.3"/>
    <row r="100" s="1" customFormat="1" x14ac:dyDescent="0.3"/>
    <row r="101" s="1" customFormat="1" x14ac:dyDescent="0.3"/>
    <row r="102" s="1" customFormat="1" x14ac:dyDescent="0.3"/>
    <row r="103" s="1" customFormat="1" x14ac:dyDescent="0.3"/>
    <row r="104" s="1" customFormat="1" x14ac:dyDescent="0.3"/>
    <row r="105" s="1" customFormat="1" x14ac:dyDescent="0.3"/>
    <row r="106" s="1" customFormat="1" x14ac:dyDescent="0.3"/>
    <row r="107" s="1" customFormat="1" x14ac:dyDescent="0.3"/>
    <row r="108" s="1" customFormat="1" x14ac:dyDescent="0.3"/>
    <row r="109" s="1" customFormat="1" x14ac:dyDescent="0.3"/>
    <row r="110" s="1" customFormat="1" x14ac:dyDescent="0.3"/>
    <row r="111" s="1" customFormat="1" x14ac:dyDescent="0.3"/>
    <row r="112" s="1" customFormat="1" x14ac:dyDescent="0.3"/>
    <row r="113" s="1" customFormat="1" x14ac:dyDescent="0.3"/>
    <row r="114" s="1" customFormat="1" x14ac:dyDescent="0.3"/>
    <row r="115" s="1" customFormat="1" x14ac:dyDescent="0.3"/>
    <row r="116" s="1" customFormat="1" x14ac:dyDescent="0.3"/>
    <row r="117" s="1" customFormat="1" x14ac:dyDescent="0.3"/>
    <row r="118" s="1" customFormat="1" x14ac:dyDescent="0.3"/>
    <row r="119" s="1" customFormat="1" x14ac:dyDescent="0.3"/>
    <row r="120" s="1" customFormat="1" x14ac:dyDescent="0.3"/>
    <row r="121" s="1" customFormat="1" x14ac:dyDescent="0.3"/>
    <row r="122" s="1" customFormat="1" x14ac:dyDescent="0.3"/>
    <row r="123" s="1" customFormat="1" x14ac:dyDescent="0.3"/>
    <row r="124" s="1" customFormat="1" x14ac:dyDescent="0.3"/>
    <row r="125" s="1" customFormat="1" x14ac:dyDescent="0.3"/>
    <row r="126" s="1" customFormat="1" x14ac:dyDescent="0.3"/>
    <row r="127" s="1" customFormat="1" x14ac:dyDescent="0.3"/>
    <row r="128" s="1" customFormat="1" x14ac:dyDescent="0.3"/>
    <row r="129" s="1" customFormat="1" x14ac:dyDescent="0.3"/>
    <row r="130" s="1" customFormat="1" x14ac:dyDescent="0.3"/>
    <row r="131" s="1" customFormat="1" x14ac:dyDescent="0.3"/>
    <row r="132" s="1" customFormat="1" x14ac:dyDescent="0.3"/>
    <row r="133" s="1" customFormat="1" x14ac:dyDescent="0.3"/>
    <row r="134" s="1" customFormat="1" x14ac:dyDescent="0.3"/>
    <row r="135" s="1" customFormat="1" x14ac:dyDescent="0.3"/>
    <row r="136" s="1" customFormat="1" x14ac:dyDescent="0.3"/>
    <row r="137" s="1" customFormat="1" x14ac:dyDescent="0.3"/>
    <row r="138" s="1" customFormat="1" x14ac:dyDescent="0.3"/>
    <row r="139" s="1" customFormat="1" x14ac:dyDescent="0.3"/>
    <row r="140" s="1" customFormat="1" x14ac:dyDescent="0.3"/>
    <row r="141" s="1" customFormat="1" x14ac:dyDescent="0.3"/>
    <row r="142" s="1" customFormat="1" x14ac:dyDescent="0.3"/>
    <row r="143" s="1" customFormat="1" x14ac:dyDescent="0.3"/>
    <row r="144" s="1" customFormat="1" x14ac:dyDescent="0.3"/>
    <row r="145" s="1" customFormat="1" x14ac:dyDescent="0.3"/>
    <row r="146" s="1" customFormat="1" x14ac:dyDescent="0.3"/>
    <row r="147" s="1" customFormat="1" x14ac:dyDescent="0.3"/>
    <row r="148" s="1" customFormat="1" x14ac:dyDescent="0.3"/>
    <row r="149" s="1" customFormat="1" x14ac:dyDescent="0.3"/>
    <row r="150" s="1" customFormat="1" x14ac:dyDescent="0.3"/>
    <row r="151" s="1" customFormat="1" x14ac:dyDescent="0.3"/>
    <row r="152" s="1" customFormat="1" x14ac:dyDescent="0.3"/>
    <row r="153" s="1" customFormat="1" x14ac:dyDescent="0.3"/>
    <row r="154" s="1" customFormat="1" x14ac:dyDescent="0.3"/>
    <row r="155" s="1" customFormat="1" x14ac:dyDescent="0.3"/>
    <row r="156" s="1" customFormat="1" x14ac:dyDescent="0.3"/>
    <row r="157" s="1" customFormat="1" x14ac:dyDescent="0.3"/>
    <row r="158" s="1" customFormat="1" x14ac:dyDescent="0.3"/>
    <row r="159" s="1" customFormat="1" x14ac:dyDescent="0.3"/>
    <row r="160" s="1" customFormat="1" x14ac:dyDescent="0.3"/>
    <row r="161" s="1" customFormat="1" x14ac:dyDescent="0.3"/>
    <row r="162" s="1" customFormat="1" x14ac:dyDescent="0.3"/>
    <row r="163" s="1" customFormat="1" x14ac:dyDescent="0.3"/>
    <row r="164" s="1" customFormat="1" x14ac:dyDescent="0.3"/>
    <row r="165" s="1" customFormat="1" x14ac:dyDescent="0.3"/>
    <row r="166" s="1" customFormat="1" x14ac:dyDescent="0.3"/>
    <row r="167" s="1" customFormat="1" x14ac:dyDescent="0.3"/>
    <row r="168" s="1" customFormat="1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DATOS</vt:lpstr>
      <vt:lpstr>BASE</vt:lpstr>
      <vt:lpstr>BLANCO</vt:lpstr>
      <vt:lpstr>DATOS!Área_de_impresión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Andrés Domínguez Galvá</dc:creator>
  <cp:lastModifiedBy>Andrés Domínguez Galvá</cp:lastModifiedBy>
  <cp:lastPrinted>2026-03-01T13:24:04Z</cp:lastPrinted>
  <dcterms:created xsi:type="dcterms:W3CDTF">2015-06-05T18:19:34Z</dcterms:created>
  <dcterms:modified xsi:type="dcterms:W3CDTF">2026-04-28T17:54:31Z</dcterms:modified>
</cp:coreProperties>
</file>