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ndre\Documents\PÁGINA WEB\2 - Contenidos en proceso\Entrada Nº119 - DIMENSIONADO Y CÁLCULO ESTRUCTURAL DE UN MURO DE CONTENCIÓN CON TALÓN Y PUNTERA\Archivos asociados\"/>
    </mc:Choice>
  </mc:AlternateContent>
  <xr:revisionPtr revIDLastSave="0" documentId="13_ncr:1_{3066BC20-9406-481C-898A-7927DEFEBA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1" r:id="rId1"/>
    <sheet name="REFERENCIAS" sheetId="2" r:id="rId2"/>
  </sheets>
  <definedNames>
    <definedName name="_xlnm.Print_Area" localSheetId="0">DATOS!$A$1:$E$174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C79" i="1"/>
  <c r="C76" i="1"/>
  <c r="D21" i="2"/>
  <c r="D22" i="2"/>
  <c r="D23" i="2"/>
  <c r="D24" i="2"/>
  <c r="D20" i="2"/>
  <c r="C99" i="1"/>
  <c r="C93" i="1"/>
  <c r="E24" i="2"/>
  <c r="E23" i="2"/>
  <c r="E22" i="2"/>
  <c r="E20" i="2"/>
  <c r="E21" i="2"/>
  <c r="F21" i="2"/>
  <c r="A21" i="2"/>
  <c r="A23" i="2"/>
  <c r="F20" i="2"/>
  <c r="F22" i="2"/>
  <c r="A22" i="2"/>
  <c r="F24" i="2"/>
  <c r="A19" i="2"/>
  <c r="F19" i="2" s="1"/>
  <c r="A12" i="2"/>
  <c r="B12" i="2" s="1"/>
  <c r="C81" i="1" s="1"/>
  <c r="A3" i="2"/>
  <c r="D3" i="2" s="1"/>
  <c r="B6" i="2"/>
  <c r="B7" i="2"/>
  <c r="A20" i="2"/>
  <c r="C13" i="2"/>
  <c r="B4" i="2"/>
  <c r="C14" i="2"/>
  <c r="B5" i="2"/>
  <c r="A24" i="2"/>
  <c r="C96" i="1"/>
  <c r="C100" i="1" s="1"/>
  <c r="C98" i="1"/>
  <c r="C97" i="1"/>
  <c r="C23" i="1"/>
  <c r="C27" i="1" s="1"/>
  <c r="C78" i="1"/>
  <c r="B170" i="1" s="1"/>
  <c r="E19" i="2" l="1"/>
  <c r="C12" i="2"/>
  <c r="C154" i="1" s="1"/>
  <c r="C24" i="1"/>
  <c r="C29" i="1" s="1"/>
  <c r="C30" i="1" s="1"/>
  <c r="C169" i="1"/>
  <c r="B3" i="2"/>
  <c r="B19" i="2"/>
  <c r="C171" i="1"/>
  <c r="D19" i="2"/>
  <c r="C19" i="2"/>
  <c r="D170" i="1"/>
  <c r="C26" i="1" l="1"/>
  <c r="C103" i="1"/>
  <c r="C155" i="1"/>
  <c r="C157" i="1" s="1"/>
  <c r="C3" i="2"/>
  <c r="C82" i="1" s="1"/>
  <c r="C25" i="1"/>
  <c r="C28" i="1" l="1"/>
  <c r="C156" i="1"/>
  <c r="C101" i="1"/>
  <c r="C102" i="1" s="1"/>
  <c r="C80" i="1" l="1"/>
  <c r="B168" i="1"/>
  <c r="D168" i="1" s="1"/>
  <c r="C77" i="1"/>
  <c r="B169" i="1" s="1"/>
  <c r="D169" i="1" s="1"/>
  <c r="C88" i="1"/>
  <c r="C160" i="1"/>
  <c r="C163" i="1" s="1"/>
  <c r="G163" i="1" s="1"/>
  <c r="C104" i="1"/>
  <c r="C106" i="1" s="1"/>
  <c r="C105" i="1"/>
  <c r="B171" i="1"/>
  <c r="D171" i="1" s="1"/>
  <c r="D172" i="1" l="1"/>
  <c r="D173" i="1" s="1"/>
  <c r="C83" i="1"/>
  <c r="C85" i="1" s="1"/>
  <c r="C87" i="1" s="1"/>
  <c r="C84" i="1" l="1"/>
  <c r="C159" i="1" s="1"/>
  <c r="C162" i="1" s="1"/>
  <c r="G162" i="1" s="1"/>
  <c r="C107" i="1" l="1"/>
  <c r="C108" i="1" s="1"/>
  <c r="C148" i="1" s="1"/>
  <c r="G148" i="1" s="1"/>
  <c r="C158" i="1"/>
  <c r="C161" i="1" s="1"/>
  <c r="G161" i="1" s="1"/>
  <c r="C86" i="1"/>
  <c r="C147" i="1" l="1"/>
  <c r="G147" i="1" s="1"/>
  <c r="C150" i="1"/>
  <c r="G150" i="1" s="1"/>
  <c r="C149" i="1" l="1"/>
  <c r="G149" i="1" s="1"/>
</calcChain>
</file>

<file path=xl/sharedStrings.xml><?xml version="1.0" encoding="utf-8"?>
<sst xmlns="http://schemas.openxmlformats.org/spreadsheetml/2006/main" count="326" uniqueCount="248">
  <si>
    <t>Canto de la puntera/talón</t>
  </si>
  <si>
    <t>Grosor del muro</t>
  </si>
  <si>
    <t>H</t>
  </si>
  <si>
    <t>B</t>
  </si>
  <si>
    <t>G</t>
  </si>
  <si>
    <t>P</t>
  </si>
  <si>
    <t>T</t>
  </si>
  <si>
    <t>[m]</t>
  </si>
  <si>
    <t>Parámetro</t>
  </si>
  <si>
    <t>Símbolo</t>
  </si>
  <si>
    <t>Valor</t>
  </si>
  <si>
    <t>Unidades</t>
  </si>
  <si>
    <t>L</t>
  </si>
  <si>
    <t>A</t>
  </si>
  <si>
    <t>Mínimo recomendado de 20 [cm], resultado de [0.10 × H]</t>
  </si>
  <si>
    <t>Resultado de [0.50 × H]</t>
  </si>
  <si>
    <t>Resultado de [G + P + T]</t>
  </si>
  <si>
    <t>Desnivel desde la parte superior del terreno hasta el suelo</t>
  </si>
  <si>
    <t>[m³]</t>
  </si>
  <si>
    <t>[kg]</t>
  </si>
  <si>
    <t>W</t>
  </si>
  <si>
    <t>F</t>
  </si>
  <si>
    <t>S</t>
  </si>
  <si>
    <t>K</t>
  </si>
  <si>
    <t>Resultado de [2 × L × (H + W)]</t>
  </si>
  <si>
    <t>[m²]</t>
  </si>
  <si>
    <t>Perímetro del muro de contención</t>
  </si>
  <si>
    <t>Volumen de hormigón HA-25</t>
  </si>
  <si>
    <t>Longitud total del muro</t>
  </si>
  <si>
    <t>E</t>
  </si>
  <si>
    <t>VH</t>
  </si>
  <si>
    <t>VT</t>
  </si>
  <si>
    <t>Se estima como resultado de [(W × H × L) / 2]</t>
  </si>
  <si>
    <t>Volumen de terreno excavado</t>
  </si>
  <si>
    <t>Cantidad</t>
  </si>
  <si>
    <t>Precio unitario</t>
  </si>
  <si>
    <t>Subtotal</t>
  </si>
  <si>
    <t>Excavación del terreno</t>
  </si>
  <si>
    <t>Mediante maquinaria, cantidad en [m³]</t>
  </si>
  <si>
    <t>Incluye sistema de fijación y pequeño material, cantidad en [m²]</t>
  </si>
  <si>
    <t>Vertido desde hormigonera, cantidad en [m³]</t>
  </si>
  <si>
    <t>Coste material más gastos generales del 13% y beneficio del 6%</t>
  </si>
  <si>
    <t>Partida</t>
  </si>
  <si>
    <t>Proyecto</t>
  </si>
  <si>
    <t>Ubicación</t>
  </si>
  <si>
    <t>Cota del terreno contenido</t>
  </si>
  <si>
    <t>Sumatorio de todas las partidas</t>
  </si>
  <si>
    <t>φ</t>
  </si>
  <si>
    <t>δ</t>
  </si>
  <si>
    <t>[º]</t>
  </si>
  <si>
    <t>[-]</t>
  </si>
  <si>
    <t xml:space="preserve"> 0 - IDENTIFICACIÓN DE LA OBRA</t>
  </si>
  <si>
    <t>H'</t>
  </si>
  <si>
    <t>Pendiente de terreno contenido</t>
  </si>
  <si>
    <t>β</t>
  </si>
  <si>
    <t>Varía de 0º a 45º como máximo según el emplazamiento</t>
  </si>
  <si>
    <t>Altura máxima del terreno contenido</t>
  </si>
  <si>
    <t>Altura máxima del terreno, resultado de [H + T × tg(β)]</t>
  </si>
  <si>
    <t>Resultado de [(W × B + (A + F) × G) × L]</t>
  </si>
  <si>
    <t>Coeficiente de empuje activo</t>
  </si>
  <si>
    <t>KA</t>
  </si>
  <si>
    <t>Empuje activo del terreno</t>
  </si>
  <si>
    <t>[kg/m]</t>
  </si>
  <si>
    <t>[kg/m³]</t>
  </si>
  <si>
    <t>Densidad del terreno contenido</t>
  </si>
  <si>
    <t>PA</t>
  </si>
  <si>
    <t>Empuje horizontal activo del terreno</t>
  </si>
  <si>
    <t>Empuje vertical activo del terreno</t>
  </si>
  <si>
    <t>PH</t>
  </si>
  <si>
    <t>PV</t>
  </si>
  <si>
    <t>MO</t>
  </si>
  <si>
    <t>[kg × m/m]</t>
  </si>
  <si>
    <t>Resultado de [PA × cos(β)]</t>
  </si>
  <si>
    <t>Resultado de [PA × sen(β)]</t>
  </si>
  <si>
    <t>Resultado de [PH × H'/3]</t>
  </si>
  <si>
    <t>Momento resistente del muro</t>
  </si>
  <si>
    <t>Momento resistente de la base</t>
  </si>
  <si>
    <t>V</t>
  </si>
  <si>
    <t>Densidad del hormigón armado</t>
  </si>
  <si>
    <t>ϒT</t>
  </si>
  <si>
    <r>
      <t>Resultado de [</t>
    </r>
    <r>
      <rPr>
        <sz val="11"/>
        <color theme="1"/>
        <rFont val="Calibri"/>
        <family val="2"/>
      </rPr>
      <t>½</t>
    </r>
    <r>
      <rPr>
        <sz val="8.8000000000000007"/>
        <color theme="1"/>
        <rFont val="Calibri"/>
        <family val="2"/>
      </rPr>
      <t xml:space="preserve"> × </t>
    </r>
    <r>
      <rPr>
        <sz val="11"/>
        <color theme="1"/>
        <rFont val="Calibri"/>
        <family val="2"/>
        <scheme val="minor"/>
      </rPr>
      <t>ϒT × H'² × KA]</t>
    </r>
  </si>
  <si>
    <t>Peso lineal del muro</t>
  </si>
  <si>
    <t>Peso lineal de la base</t>
  </si>
  <si>
    <t>Peso del terreno sobre el talón</t>
  </si>
  <si>
    <t>PM</t>
  </si>
  <si>
    <t>PT</t>
  </si>
  <si>
    <t>MB</t>
  </si>
  <si>
    <t>MM</t>
  </si>
  <si>
    <t>PB</t>
  </si>
  <si>
    <t>Factor de seguridad al volcamiento</t>
  </si>
  <si>
    <t>Resultado de [PM × (P + G/2)]</t>
  </si>
  <si>
    <t>Resultado de [PB × W/2]</t>
  </si>
  <si>
    <t>Resultado de [PM + PB + PV + PT]</t>
  </si>
  <si>
    <t>Factor de seguridad al deslizamiento</t>
  </si>
  <si>
    <t>Coeficiente de empuje pasivo</t>
  </si>
  <si>
    <t>KB</t>
  </si>
  <si>
    <t>Coeficiente de adhesión muro-terreno</t>
  </si>
  <si>
    <t>KD</t>
  </si>
  <si>
    <t>[kg/m²]</t>
  </si>
  <si>
    <t>PP</t>
  </si>
  <si>
    <t>Empuje horizontal pasivo del terreno</t>
  </si>
  <si>
    <t>Ángulo de rozamiento interno del terreno</t>
  </si>
  <si>
    <t>Ángulo de fricción muro-terreno</t>
  </si>
  <si>
    <t>Coeficiente de rozamiento muro-terreno</t>
  </si>
  <si>
    <t>KR</t>
  </si>
  <si>
    <t>Excentricidad de las cargas</t>
  </si>
  <si>
    <t>EM</t>
  </si>
  <si>
    <t>FSV &gt; 2.00</t>
  </si>
  <si>
    <t>FSD &gt; 1.50</t>
  </si>
  <si>
    <t>Toma un valor habitualmente entre 30º y 45º</t>
  </si>
  <si>
    <t>Resultado de [2 × L × (A + F)], solo del muro
(La base se hormigona contra el terreno)</t>
  </si>
  <si>
    <t>CP</t>
  </si>
  <si>
    <t>Capacidad portante del terreno</t>
  </si>
  <si>
    <t>Factor de seguridad de la capacidad portante</t>
  </si>
  <si>
    <t>FSP &gt; 3.00</t>
  </si>
  <si>
    <t>ER &lt; EM</t>
  </si>
  <si>
    <t>Densidad del terreno</t>
  </si>
  <si>
    <t>Momento volcante generado por el terreno</t>
  </si>
  <si>
    <t>Momento resistente generado por el terreno</t>
  </si>
  <si>
    <t>Sumatorio de las fuerzas verticales al suelo</t>
  </si>
  <si>
    <t>Fuerza generada contra el deslizamiento</t>
  </si>
  <si>
    <t>FH</t>
  </si>
  <si>
    <t>Resultado de [FH / PH], debe ser mayor a 1.50</t>
  </si>
  <si>
    <t>Resultado de [FR + PP], donde FR es igual a [V × KR + KD × W]</t>
  </si>
  <si>
    <t>MR</t>
  </si>
  <si>
    <t>Resultado de [(MM + MB + MR) / MO)], debe ser mayor a 2.00</t>
  </si>
  <si>
    <t>Resultado de [W/2 - (MM + MB + MR - MO) / V], debe ser menor a EM</t>
  </si>
  <si>
    <t>LEA</t>
  </si>
  <si>
    <t>Límite de rotura del hormigón a compresión</t>
  </si>
  <si>
    <t>Esfuerzo cortante máximo</t>
  </si>
  <si>
    <t>Esfuerzo a tracción máximo</t>
  </si>
  <si>
    <t>Esfuerzo a compresión máximo</t>
  </si>
  <si>
    <t>ECM</t>
  </si>
  <si>
    <t>ETM</t>
  </si>
  <si>
    <t>EVM</t>
  </si>
  <si>
    <t>ϒHA</t>
  </si>
  <si>
    <t>Resultado de [(A + F) × G × ϒHA]</t>
  </si>
  <si>
    <t>Resultado de [W × B × ϒHA]</t>
  </si>
  <si>
    <t>[kg/cm²]</t>
  </si>
  <si>
    <t>Resultado de [1.50 × PH / G]</t>
  </si>
  <si>
    <t>Límite de rotura del hormigón a cortante</t>
  </si>
  <si>
    <t>LRHC</t>
  </si>
  <si>
    <t>LRHT</t>
  </si>
  <si>
    <t>LRHV</t>
  </si>
  <si>
    <t>Valor correspondiente al tipo de hormigón elegido</t>
  </si>
  <si>
    <t>ϒH</t>
  </si>
  <si>
    <t>Depende del tipo de hormigón empleado</t>
  </si>
  <si>
    <t>Resultado de [ϒH + K / VH]</t>
  </si>
  <si>
    <t>Densidad del acero</t>
  </si>
  <si>
    <t>Densidad del hormigón</t>
  </si>
  <si>
    <t>ϒA</t>
  </si>
  <si>
    <t>Depende del tipo de acero empleado</t>
  </si>
  <si>
    <t>Valor correspondiente al tipo de acero elegido</t>
  </si>
  <si>
    <t>Límite elástico del acero corrugado</t>
  </si>
  <si>
    <t>Factor de seguridad estructural a compresión</t>
  </si>
  <si>
    <t>Factor de seguridad estructural a tracción</t>
  </si>
  <si>
    <t>Factor de seguridad estructural a cortante</t>
  </si>
  <si>
    <t>FSEC &gt; 1.50</t>
  </si>
  <si>
    <t>FSET &gt; 1.50</t>
  </si>
  <si>
    <t>FSEV &gt; 1.50</t>
  </si>
  <si>
    <t>Observaciones, fórmulas y aclaraciones</t>
  </si>
  <si>
    <t xml:space="preserve"> 2 - DIMENSIONADO DEL MURO DE CONTENCIÓN</t>
  </si>
  <si>
    <t>3 - ESTIMACIÓN DE LA CANTIDAD DE MATERIAL Y DE LAS ACCIONES RESISTENTES DEL MURO</t>
  </si>
  <si>
    <t>5 - COMPROBACIÓN DE LA SOLIDEZ ESTRUCTURAL</t>
  </si>
  <si>
    <t>6 - COMPROBACIÓN DE LA RESISTENCIA ESTRUCTURAL</t>
  </si>
  <si>
    <t xml:space="preserve"> 1 - LEYENDA DE COLORES</t>
  </si>
  <si>
    <t>Parámetros y datos introducidos por el técnico competente</t>
  </si>
  <si>
    <t>Dato forzado por el técnico competente para ajustar el diseño</t>
  </si>
  <si>
    <t>Técnico competente</t>
  </si>
  <si>
    <t>Excentricidad límite de la base</t>
  </si>
  <si>
    <t>Comprobación DESFAVORABLE de la solidez o resistencia estructural, se debe ajustar el diseño</t>
  </si>
  <si>
    <t>Comprobación FAVORABLE de la solidez o resistencia estructural, diseño correcto</t>
  </si>
  <si>
    <t>Resultados de cálculo de aplicar fórmulas y criterios técnicos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</si>
  <si>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la resistencia estructural se comprueba en la unión muro-base (sección ① - </t>
    </r>
    <r>
      <rPr>
        <sz val="11"/>
        <color theme="1"/>
        <rFont val="Calibri"/>
        <family val="2"/>
      </rPr>
      <t>②</t>
    </r>
    <r>
      <rPr>
        <sz val="11"/>
        <color theme="1"/>
        <rFont val="Calibri"/>
        <family val="2"/>
        <scheme val="minor"/>
      </rPr>
      <t>), que es donde se concentran los mayores esfuerzos.</t>
    </r>
  </si>
  <si>
    <t>Resultado de [(1 - sen(φ)) / (1 + sen(φ))], método de Rankine-Caquot</t>
  </si>
  <si>
    <t>Resultado de [(1 + sen(φ)) / (1 - sen(φ))], método de Rankine-Caquot</t>
  </si>
  <si>
    <t>Se estima como 2/3 del parámetro φ</t>
  </si>
  <si>
    <t>Resultado de [tan(δ)]</t>
  </si>
  <si>
    <t>Ingeniero Solitario (ADG)</t>
  </si>
  <si>
    <t>Depende de las características del terreno bajo la base</t>
  </si>
  <si>
    <t>Resultado de [W / 6], valor a partir del cual se
pueden producir tensiones inseguras en la base</t>
  </si>
  <si>
    <t>No aplica en el caso objeto de estudio</t>
  </si>
  <si>
    <t>Resultado de [PV × W + PT × (W - T/2)], es decir, [MV + MT]</t>
  </si>
  <si>
    <t>Se estima como un ⅓ de LRHC</t>
  </si>
  <si>
    <t>Tipo de acero corrugado</t>
  </si>
  <si>
    <t>Tipo de hormigón</t>
  </si>
  <si>
    <t>Suele ser de 10 a 30 [cm] en función del tipo de pavimento</t>
  </si>
  <si>
    <t>Tipo</t>
  </si>
  <si>
    <t>Configuración</t>
  </si>
  <si>
    <t>B400SD</t>
  </si>
  <si>
    <t>B500SD</t>
  </si>
  <si>
    <t>Parámetros de los mallazos o parrillas</t>
  </si>
  <si>
    <t>Parámetros tipo de acero</t>
  </si>
  <si>
    <t>Parámetros tipo hormigón</t>
  </si>
  <si>
    <t>HA-25</t>
  </si>
  <si>
    <t>HA-30</t>
  </si>
  <si>
    <t>HA-40</t>
  </si>
  <si>
    <t>Se recomienda acero tipo B500SD</t>
  </si>
  <si>
    <t>Indica el diámetro (Ø) del corrugado en [mm]
y las medidas de la cuadrícula (#) en [cm]</t>
  </si>
  <si>
    <t>Resultado de [ECM/LRHC], debe ser mayor a 1.50 (Tabla 15.3 - EHE/08)</t>
  </si>
  <si>
    <t>Resultado de [ETM/LRHT], debe ser mayor a 1.50 (Tabla 15.3 - EHE/08)</t>
  </si>
  <si>
    <t>Resultado de [EVM/LRHV], debe ser mayor a 1.50 (Tabla 15.3 - EHE/08)</t>
  </si>
  <si>
    <t>Vertido y vibrado de hormigón</t>
  </si>
  <si>
    <t>Resistencia ([kg/cm²])</t>
  </si>
  <si>
    <t>Diámetro ([mm])</t>
  </si>
  <si>
    <t>Cuadrícula ([cm])</t>
  </si>
  <si>
    <t>Factor de ocupación</t>
  </si>
  <si>
    <t>Incluye los separadores y amarres, cantidad en [m²]</t>
  </si>
  <si>
    <t>Precio ([€/m²])</t>
  </si>
  <si>
    <t>Precio ([€/m³])</t>
  </si>
  <si>
    <t>HA-35</t>
  </si>
  <si>
    <t>Valores de referencia del sector, del mercado o de la normativa</t>
  </si>
  <si>
    <t>Densidad ([kg/m³])</t>
  </si>
  <si>
    <t>Resultado de [ϒT × (F + B)² × KB]</t>
  </si>
  <si>
    <t>Suministro y montaje de la parrilla/mallazo</t>
  </si>
  <si>
    <t>Configuración de la parrilla o mallazo</t>
  </si>
  <si>
    <t>7 - PRESUPUESTO DE EJECUCIÓN MATERIAL Y POR CONTRATA</t>
  </si>
  <si>
    <t>Coste material del muro (P.E.M)</t>
  </si>
  <si>
    <t>Presupuesto total sin IVA (P.E.C)</t>
  </si>
  <si>
    <t>Grosor del firme sobre la puntera</t>
  </si>
  <si>
    <t>4 - CARACTERÍSTICAS ESTRUCTURALES Y ACCIONES DEL TERRENO</t>
  </si>
  <si>
    <t>Resultado de [CP/QV], debe ser mayor a 3.00, donde
el parámetro QV es igual a [V/W × (1 + (6 × ER) / W)]</t>
  </si>
  <si>
    <t>Límite de rotura del hormigón armado a tracción</t>
  </si>
  <si>
    <t>Para desniveles (A) de hasta 3,50 [m] basta con el HA-25</t>
  </si>
  <si>
    <t>#20x20/Ø12</t>
  </si>
  <si>
    <t>Anchura del talón</t>
  </si>
  <si>
    <t>Anchura total de la base</t>
  </si>
  <si>
    <t>Anchura de la puntera</t>
  </si>
  <si>
    <t>Superficie a encofrar/entibar
(Sustituible por bloques tipo H)</t>
  </si>
  <si>
    <t>Superficie del mallazo o parrilla</t>
  </si>
  <si>
    <r>
      <t>Peso ([kg/m</t>
    </r>
    <r>
      <rPr>
        <sz val="11"/>
        <color theme="1"/>
        <rFont val="Aptos Narrow"/>
        <family val="2"/>
        <charset val="1"/>
      </rPr>
      <t>²</t>
    </r>
    <r>
      <rPr>
        <sz val="11"/>
        <color theme="1"/>
        <rFont val="Calibri"/>
        <family val="2"/>
      </rPr>
      <t>])</t>
    </r>
  </si>
  <si>
    <t>Kilogramos de acero</t>
  </si>
  <si>
    <t>Depende del diámetro, el tamaño de la retícula y la superficie (S)</t>
  </si>
  <si>
    <t>Resultado de [ϒT × T × (A + F + (H' - H)/2)]</t>
  </si>
  <si>
    <t>Encofrado y entibado del muro
(En su caso, superficie en bloques tipo H)</t>
  </si>
  <si>
    <t>Depende del terreno, a falta de ensayos tomar 0.25 [kN/m²]</t>
  </si>
  <si>
    <t>Calle Joaquín Rodrigo, 4, 39011 Santander, Cantabria</t>
  </si>
  <si>
    <t>Ingeniero Solitario | Autoconsumo y Autarquía</t>
  </si>
  <si>
    <t>Se estima como [0.10 × LRHC + FO × LEA / G], donde
el parámetro FO es el factor de ocupación de la parrilla</t>
  </si>
  <si>
    <t>Resultado de [(PH × H'/3) × (G/2) / (G³/12) - PM/G], fórmula del
esfuerzo de flexión ([M × y / I]) más el peso del propio muro</t>
  </si>
  <si>
    <t>Resultado de [(PH × H'/3) × (G/2) / (G³/12) + PM/G], fórmula del
esfuerzo de flexión ([M × y / I]) más el peso del propio muro</t>
  </si>
  <si>
    <t>Centro de seccionamiento en espaldón de un terraplén</t>
  </si>
  <si>
    <t>Altura estimada del muro de contención</t>
  </si>
  <si>
    <t>Altura estimada del muro, resultado de [(A + F) / 0.90]</t>
  </si>
  <si>
    <t>~ H</t>
  </si>
  <si>
    <t>Altura final del muro de contención</t>
  </si>
  <si>
    <t>Altura final del muro, resultado de [A + F + B]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</si>
  <si>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todas las dimensiones del muro (P, G, T, B) han sido redondeadas al múltiplo de 0.05 [m] inmediatamente superior.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</si>
</sst>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0.00000000"/>
    <numFmt numFmtId="166" formatCode=";;;"/>
    <numFmt numFmtId="167" formatCode="0.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nsolas"/>
      <family val="3"/>
    </font>
    <font>
      <sz val="11"/>
      <color theme="1"/>
      <name val="Aptos Narrow"/>
      <family val="2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b/>
      <sz val="11"/>
      <color theme="0" tint="-4.9989318521683403E-2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Aptos Narrow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0" fillId="5" borderId="0" xfId="0" applyFill="1"/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2" fontId="0" fillId="5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2" borderId="0" xfId="0" applyNumberFormat="1" applyFill="1"/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1" xfId="1" applyNumberFormat="1" applyFont="1" applyFill="1" applyBorder="1" applyAlignment="1">
      <alignment horizontal="center" vertical="center"/>
    </xf>
    <xf numFmtId="2" fontId="0" fillId="8" borderId="16" xfId="0" applyNumberForma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2" fontId="0" fillId="8" borderId="17" xfId="0" applyNumberFormat="1" applyFill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/>
    </xf>
    <xf numFmtId="2" fontId="0" fillId="8" borderId="16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 vertical="center"/>
    </xf>
    <xf numFmtId="164" fontId="0" fillId="8" borderId="16" xfId="0" applyNumberFormat="1" applyFill="1" applyBorder="1" applyAlignment="1">
      <alignment horizontal="center" vertical="center"/>
    </xf>
    <xf numFmtId="164" fontId="0" fillId="8" borderId="15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0" xfId="0" applyNumberFormat="1" applyFill="1"/>
    <xf numFmtId="0" fontId="9" fillId="2" borderId="0" xfId="0" applyFont="1" applyFill="1"/>
    <xf numFmtId="166" fontId="0" fillId="2" borderId="0" xfId="0" applyNumberFormat="1" applyFill="1"/>
    <xf numFmtId="0" fontId="0" fillId="4" borderId="1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7" fontId="0" fillId="8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0" fillId="10" borderId="16" xfId="0" applyNumberFormat="1" applyFill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2" fontId="0" fillId="10" borderId="15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2" fontId="0" fillId="10" borderId="16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103598</xdr:colOff>
      <xdr:row>31</xdr:row>
      <xdr:rowOff>95250</xdr:rowOff>
    </xdr:from>
    <xdr:to>
      <xdr:col>4</xdr:col>
      <xdr:colOff>4070349</xdr:colOff>
      <xdr:row>70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80C161-8527-4177-E137-494345CA2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3598" y="5905500"/>
          <a:ext cx="9948451" cy="7067550"/>
        </a:xfrm>
        <a:prstGeom prst="rect">
          <a:avLst/>
        </a:prstGeom>
      </xdr:spPr>
    </xdr:pic>
    <xdr:clientData/>
  </xdr:twoCellAnchor>
  <xdr:twoCellAnchor editAs="oneCell">
    <xdr:from>
      <xdr:col>0</xdr:col>
      <xdr:colOff>58006</xdr:colOff>
      <xdr:row>108</xdr:row>
      <xdr:rowOff>107950</xdr:rowOff>
    </xdr:from>
    <xdr:to>
      <xdr:col>4</xdr:col>
      <xdr:colOff>4108450</xdr:colOff>
      <xdr:row>142</xdr:row>
      <xdr:rowOff>88900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61EDC9-C30C-EA1C-D532-591CC520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/>
        <a:stretch/>
      </xdr:blipFill>
      <xdr:spPr>
        <a:xfrm>
          <a:off x="58006" y="19862800"/>
          <a:ext cx="10019444" cy="624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Z425"/>
  <sheetViews>
    <sheetView tabSelected="1" view="pageBreakPreview" zoomScaleNormal="100" zoomScaleSheetLayoutView="100" workbookViewId="0">
      <selection activeCell="D180" sqref="D180"/>
    </sheetView>
  </sheetViews>
  <sheetFormatPr baseColWidth="10" defaultColWidth="8.88671875" defaultRowHeight="14.4" x14ac:dyDescent="0.3"/>
  <cols>
    <col min="1" max="1" width="45.77734375" customWidth="1"/>
    <col min="2" max="2" width="12.77734375" customWidth="1"/>
    <col min="3" max="3" width="15.77734375" customWidth="1"/>
    <col min="4" max="4" width="12.77734375" customWidth="1"/>
    <col min="5" max="5" width="60.77734375" customWidth="1"/>
    <col min="6" max="26" width="15.77734375" style="1" customWidth="1"/>
    <col min="27" max="338" width="8.88671875" style="1"/>
  </cols>
  <sheetData>
    <row r="1" spans="1:7" s="2" customFormat="1" x14ac:dyDescent="0.3">
      <c r="A1" s="75" t="s">
        <v>51</v>
      </c>
      <c r="B1" s="76"/>
      <c r="C1" s="76"/>
      <c r="D1" s="76"/>
      <c r="E1" s="77"/>
      <c r="F1" s="1"/>
    </row>
    <row r="2" spans="1:7" s="2" customFormat="1" x14ac:dyDescent="0.3">
      <c r="A2" s="3" t="s">
        <v>43</v>
      </c>
      <c r="B2" s="78" t="s">
        <v>241</v>
      </c>
      <c r="C2" s="78"/>
      <c r="D2" s="78"/>
      <c r="E2" s="78"/>
      <c r="F2" s="1"/>
    </row>
    <row r="3" spans="1:7" s="2" customFormat="1" x14ac:dyDescent="0.3">
      <c r="A3" s="3" t="s">
        <v>44</v>
      </c>
      <c r="B3" s="78" t="s">
        <v>236</v>
      </c>
      <c r="C3" s="78"/>
      <c r="D3" s="78"/>
      <c r="E3" s="78"/>
      <c r="F3" s="1"/>
    </row>
    <row r="4" spans="1:7" s="2" customFormat="1" x14ac:dyDescent="0.3">
      <c r="A4" s="3" t="s">
        <v>168</v>
      </c>
      <c r="B4" s="78" t="s">
        <v>237</v>
      </c>
      <c r="C4" s="78"/>
      <c r="D4" s="78"/>
      <c r="E4" s="78"/>
      <c r="F4" s="1"/>
    </row>
    <row r="5" spans="1:7" s="1" customFormat="1" x14ac:dyDescent="0.3"/>
    <row r="6" spans="1:7" s="2" customFormat="1" x14ac:dyDescent="0.3">
      <c r="A6" s="75" t="s">
        <v>165</v>
      </c>
      <c r="B6" s="76"/>
      <c r="C6" s="76"/>
      <c r="D6" s="76"/>
      <c r="E6" s="77"/>
      <c r="F6" s="1"/>
    </row>
    <row r="7" spans="1:7" s="2" customFormat="1" x14ac:dyDescent="0.3">
      <c r="A7" s="18"/>
      <c r="B7" s="70" t="s">
        <v>166</v>
      </c>
      <c r="C7" s="71"/>
      <c r="D7" s="71"/>
      <c r="E7" s="72"/>
      <c r="F7" s="1"/>
    </row>
    <row r="8" spans="1:7" s="2" customFormat="1" x14ac:dyDescent="0.3">
      <c r="A8" s="44"/>
      <c r="B8" s="70" t="s">
        <v>172</v>
      </c>
      <c r="C8" s="71"/>
      <c r="D8" s="71"/>
      <c r="E8" s="72"/>
      <c r="F8" s="1"/>
    </row>
    <row r="9" spans="1:7" s="2" customFormat="1" x14ac:dyDescent="0.3">
      <c r="A9" s="45"/>
      <c r="B9" s="70" t="s">
        <v>171</v>
      </c>
      <c r="C9" s="71"/>
      <c r="D9" s="71"/>
      <c r="E9" s="72"/>
      <c r="F9" s="1"/>
    </row>
    <row r="10" spans="1:7" s="2" customFormat="1" x14ac:dyDescent="0.3">
      <c r="A10" s="28"/>
      <c r="B10" s="70" t="s">
        <v>170</v>
      </c>
      <c r="C10" s="71"/>
      <c r="D10" s="71"/>
      <c r="E10" s="72"/>
      <c r="F10" s="1"/>
    </row>
    <row r="11" spans="1:7" s="2" customFormat="1" x14ac:dyDescent="0.3">
      <c r="A11" s="67"/>
      <c r="B11" s="70" t="s">
        <v>167</v>
      </c>
      <c r="C11" s="71"/>
      <c r="D11" s="71"/>
      <c r="E11" s="72"/>
      <c r="F11" s="1"/>
    </row>
    <row r="12" spans="1:7" s="2" customFormat="1" x14ac:dyDescent="0.3">
      <c r="A12" s="65"/>
      <c r="B12" s="70" t="s">
        <v>211</v>
      </c>
      <c r="C12" s="71"/>
      <c r="D12" s="71"/>
      <c r="E12" s="72"/>
      <c r="F12" s="1"/>
    </row>
    <row r="13" spans="1:7" s="2" customFormat="1" x14ac:dyDescent="0.3">
      <c r="A13" s="52"/>
      <c r="B13" s="70" t="s">
        <v>181</v>
      </c>
      <c r="C13" s="71"/>
      <c r="D13" s="71"/>
      <c r="E13" s="72"/>
      <c r="F13" s="1"/>
    </row>
    <row r="14" spans="1:7" s="1" customFormat="1" x14ac:dyDescent="0.3"/>
    <row r="15" spans="1:7" s="1" customFormat="1" x14ac:dyDescent="0.3">
      <c r="A15" s="75" t="s">
        <v>161</v>
      </c>
      <c r="B15" s="76"/>
      <c r="C15" s="76"/>
      <c r="D15" s="76"/>
      <c r="E15" s="77"/>
      <c r="G15" s="2"/>
    </row>
    <row r="16" spans="1:7" s="1" customFormat="1" x14ac:dyDescent="0.3">
      <c r="A16" s="4" t="s">
        <v>8</v>
      </c>
      <c r="B16" s="4" t="s">
        <v>9</v>
      </c>
      <c r="C16" s="4" t="s">
        <v>10</v>
      </c>
      <c r="D16" s="4" t="s">
        <v>11</v>
      </c>
      <c r="E16" s="4" t="s">
        <v>160</v>
      </c>
    </row>
    <row r="17" spans="1:5" s="1" customFormat="1" x14ac:dyDescent="0.3">
      <c r="A17" s="3" t="s">
        <v>185</v>
      </c>
      <c r="B17" s="3" t="s">
        <v>50</v>
      </c>
      <c r="C17" s="46" t="s">
        <v>194</v>
      </c>
      <c r="D17" s="3" t="s">
        <v>50</v>
      </c>
      <c r="E17" s="5" t="s">
        <v>223</v>
      </c>
    </row>
    <row r="18" spans="1:5" s="1" customFormat="1" x14ac:dyDescent="0.3">
      <c r="A18" s="54" t="s">
        <v>184</v>
      </c>
      <c r="B18" s="54" t="s">
        <v>50</v>
      </c>
      <c r="C18" s="55" t="s">
        <v>190</v>
      </c>
      <c r="D18" s="54" t="s">
        <v>50</v>
      </c>
      <c r="E18" s="51" t="s">
        <v>197</v>
      </c>
    </row>
    <row r="19" spans="1:5" s="1" customFormat="1" ht="29.4" thickBot="1" x14ac:dyDescent="0.35">
      <c r="A19" s="21" t="s">
        <v>215</v>
      </c>
      <c r="B19" s="21" t="s">
        <v>50</v>
      </c>
      <c r="C19" s="47" t="s">
        <v>224</v>
      </c>
      <c r="D19" s="21" t="s">
        <v>50</v>
      </c>
      <c r="E19" s="26" t="s">
        <v>198</v>
      </c>
    </row>
    <row r="20" spans="1:5" s="1" customFormat="1" x14ac:dyDescent="0.3">
      <c r="A20" s="16" t="s">
        <v>45</v>
      </c>
      <c r="B20" s="16" t="s">
        <v>13</v>
      </c>
      <c r="C20" s="53">
        <v>1.75</v>
      </c>
      <c r="D20" s="16" t="s">
        <v>7</v>
      </c>
      <c r="E20" s="27" t="s">
        <v>17</v>
      </c>
    </row>
    <row r="21" spans="1:5" s="1" customFormat="1" x14ac:dyDescent="0.3">
      <c r="A21" s="3" t="s">
        <v>53</v>
      </c>
      <c r="B21" s="3" t="s">
        <v>54</v>
      </c>
      <c r="C21" s="46">
        <v>5</v>
      </c>
      <c r="D21" s="3" t="s">
        <v>49</v>
      </c>
      <c r="E21" s="5" t="s">
        <v>55</v>
      </c>
    </row>
    <row r="22" spans="1:5" s="1" customFormat="1" ht="15" thickBot="1" x14ac:dyDescent="0.35">
      <c r="A22" s="21" t="s">
        <v>219</v>
      </c>
      <c r="B22" s="21" t="s">
        <v>21</v>
      </c>
      <c r="C22" s="47">
        <v>0.15</v>
      </c>
      <c r="D22" s="21" t="s">
        <v>7</v>
      </c>
      <c r="E22" s="21" t="s">
        <v>186</v>
      </c>
    </row>
    <row r="23" spans="1:5" s="1" customFormat="1" x14ac:dyDescent="0.3">
      <c r="A23" s="16" t="s">
        <v>242</v>
      </c>
      <c r="B23" s="16" t="s">
        <v>244</v>
      </c>
      <c r="C23" s="32">
        <f>MROUND((C20+C22)/0.9,0.05) + 0.05</f>
        <v>2.15</v>
      </c>
      <c r="D23" s="16" t="s">
        <v>7</v>
      </c>
      <c r="E23" s="27" t="s">
        <v>243</v>
      </c>
    </row>
    <row r="24" spans="1:5" s="1" customFormat="1" x14ac:dyDescent="0.3">
      <c r="A24" s="3" t="s">
        <v>0</v>
      </c>
      <c r="B24" s="3" t="s">
        <v>3</v>
      </c>
      <c r="C24" s="33">
        <f>MROUND(MAX(C$23*0.1+ 0.05,0.2),0.05)</f>
        <v>0.25</v>
      </c>
      <c r="D24" s="3" t="s">
        <v>7</v>
      </c>
      <c r="E24" s="79" t="s">
        <v>14</v>
      </c>
    </row>
    <row r="25" spans="1:5" s="1" customFormat="1" x14ac:dyDescent="0.3">
      <c r="A25" s="3" t="s">
        <v>1</v>
      </c>
      <c r="B25" s="3" t="s">
        <v>4</v>
      </c>
      <c r="C25" s="33">
        <f>C24</f>
        <v>0.25</v>
      </c>
      <c r="D25" s="3" t="s">
        <v>7</v>
      </c>
      <c r="E25" s="80"/>
    </row>
    <row r="26" spans="1:5" s="1" customFormat="1" x14ac:dyDescent="0.3">
      <c r="A26" s="3" t="s">
        <v>227</v>
      </c>
      <c r="B26" s="3" t="s">
        <v>5</v>
      </c>
      <c r="C26" s="33">
        <f>C24</f>
        <v>0.25</v>
      </c>
      <c r="D26" s="3" t="s">
        <v>7</v>
      </c>
      <c r="E26" s="73"/>
    </row>
    <row r="27" spans="1:5" s="1" customFormat="1" x14ac:dyDescent="0.3">
      <c r="A27" s="3" t="s">
        <v>225</v>
      </c>
      <c r="B27" s="3" t="s">
        <v>6</v>
      </c>
      <c r="C27" s="33">
        <f>MROUND(C$23*0.5,0.05) + 0.05</f>
        <v>1.1500000000000001</v>
      </c>
      <c r="D27" s="3" t="s">
        <v>7</v>
      </c>
      <c r="E27" s="3" t="s">
        <v>15</v>
      </c>
    </row>
    <row r="28" spans="1:5" s="1" customFormat="1" x14ac:dyDescent="0.3">
      <c r="A28" s="3" t="s">
        <v>226</v>
      </c>
      <c r="B28" s="3" t="s">
        <v>20</v>
      </c>
      <c r="C28" s="33">
        <f>C26+C25+C27</f>
        <v>1.6500000000000001</v>
      </c>
      <c r="D28" s="3" t="s">
        <v>7</v>
      </c>
      <c r="E28" s="3" t="s">
        <v>16</v>
      </c>
    </row>
    <row r="29" spans="1:5" s="1" customFormat="1" x14ac:dyDescent="0.3">
      <c r="A29" s="16" t="s">
        <v>245</v>
      </c>
      <c r="B29" s="16" t="s">
        <v>2</v>
      </c>
      <c r="C29" s="32">
        <f>C20+C24+C22</f>
        <v>2.15</v>
      </c>
      <c r="D29" s="16" t="s">
        <v>7</v>
      </c>
      <c r="E29" s="27" t="s">
        <v>246</v>
      </c>
    </row>
    <row r="30" spans="1:5" s="1" customFormat="1" x14ac:dyDescent="0.3">
      <c r="A30" s="3" t="s">
        <v>56</v>
      </c>
      <c r="B30" s="3" t="s">
        <v>52</v>
      </c>
      <c r="C30" s="33">
        <f>C29+C27*TAN(C21*PI()/180)</f>
        <v>2.2506119630548125</v>
      </c>
      <c r="D30" s="3" t="s">
        <v>7</v>
      </c>
      <c r="E30" s="5" t="s">
        <v>57</v>
      </c>
    </row>
    <row r="31" spans="1:5" s="1" customFormat="1" x14ac:dyDescent="0.3">
      <c r="A31" s="81" t="s">
        <v>247</v>
      </c>
      <c r="B31" s="82"/>
      <c r="C31" s="82"/>
      <c r="D31" s="82"/>
      <c r="E31" s="83"/>
    </row>
    <row r="32" spans="1:5" s="1" customFormat="1" x14ac:dyDescent="0.3">
      <c r="A32" s="6"/>
      <c r="B32" s="7"/>
      <c r="C32" s="7"/>
      <c r="D32" s="7"/>
      <c r="E32" s="8"/>
    </row>
    <row r="33" spans="1:5" s="1" customFormat="1" x14ac:dyDescent="0.3">
      <c r="A33" s="9"/>
      <c r="E33" s="10"/>
    </row>
    <row r="34" spans="1:5" s="1" customFormat="1" x14ac:dyDescent="0.3">
      <c r="A34" s="9"/>
      <c r="E34" s="10"/>
    </row>
    <row r="35" spans="1:5" s="1" customFormat="1" x14ac:dyDescent="0.3">
      <c r="A35" s="9"/>
      <c r="E35" s="10"/>
    </row>
    <row r="36" spans="1:5" s="1" customFormat="1" x14ac:dyDescent="0.3">
      <c r="A36" s="9"/>
      <c r="E36" s="10"/>
    </row>
    <row r="37" spans="1:5" s="1" customFormat="1" x14ac:dyDescent="0.3">
      <c r="A37" s="9"/>
      <c r="E37" s="10"/>
    </row>
    <row r="38" spans="1:5" s="1" customFormat="1" x14ac:dyDescent="0.3">
      <c r="A38" s="9"/>
      <c r="E38" s="10"/>
    </row>
    <row r="39" spans="1:5" s="1" customFormat="1" x14ac:dyDescent="0.3">
      <c r="A39" s="9"/>
      <c r="E39" s="10"/>
    </row>
    <row r="40" spans="1:5" s="1" customFormat="1" x14ac:dyDescent="0.3">
      <c r="A40" s="9"/>
      <c r="E40" s="10"/>
    </row>
    <row r="41" spans="1:5" s="1" customFormat="1" x14ac:dyDescent="0.3">
      <c r="A41" s="9"/>
      <c r="E41" s="10"/>
    </row>
    <row r="42" spans="1:5" s="1" customFormat="1" x14ac:dyDescent="0.3">
      <c r="A42" s="9"/>
      <c r="E42" s="10"/>
    </row>
    <row r="43" spans="1:5" s="1" customFormat="1" x14ac:dyDescent="0.3">
      <c r="A43" s="9"/>
      <c r="E43" s="10"/>
    </row>
    <row r="44" spans="1:5" s="1" customFormat="1" x14ac:dyDescent="0.3">
      <c r="A44" s="9"/>
      <c r="E44" s="10"/>
    </row>
    <row r="45" spans="1:5" s="1" customFormat="1" x14ac:dyDescent="0.3">
      <c r="A45" s="9"/>
      <c r="E45" s="10"/>
    </row>
    <row r="46" spans="1:5" s="1" customFormat="1" x14ac:dyDescent="0.3">
      <c r="A46" s="9"/>
      <c r="E46" s="10"/>
    </row>
    <row r="47" spans="1:5" s="1" customFormat="1" x14ac:dyDescent="0.3">
      <c r="A47" s="9"/>
      <c r="E47" s="10"/>
    </row>
    <row r="48" spans="1:5" s="1" customFormat="1" x14ac:dyDescent="0.3">
      <c r="A48" s="9"/>
      <c r="E48" s="10"/>
    </row>
    <row r="49" spans="1:5" s="1" customFormat="1" x14ac:dyDescent="0.3">
      <c r="A49" s="9"/>
      <c r="E49" s="10"/>
    </row>
    <row r="50" spans="1:5" s="1" customFormat="1" x14ac:dyDescent="0.3">
      <c r="A50" s="9"/>
      <c r="E50" s="10"/>
    </row>
    <row r="51" spans="1:5" s="1" customFormat="1" x14ac:dyDescent="0.3">
      <c r="A51" s="9"/>
      <c r="E51" s="10"/>
    </row>
    <row r="52" spans="1:5" s="1" customFormat="1" x14ac:dyDescent="0.3">
      <c r="A52" s="9"/>
      <c r="E52" s="10"/>
    </row>
    <row r="53" spans="1:5" s="1" customFormat="1" x14ac:dyDescent="0.3">
      <c r="A53" s="9"/>
      <c r="E53" s="10"/>
    </row>
    <row r="54" spans="1:5" s="1" customFormat="1" x14ac:dyDescent="0.3">
      <c r="A54" s="9"/>
      <c r="E54" s="10"/>
    </row>
    <row r="55" spans="1:5" s="1" customFormat="1" x14ac:dyDescent="0.3">
      <c r="A55" s="9"/>
      <c r="E55" s="10"/>
    </row>
    <row r="56" spans="1:5" s="1" customFormat="1" x14ac:dyDescent="0.3">
      <c r="A56" s="9"/>
      <c r="E56" s="10"/>
    </row>
    <row r="57" spans="1:5" s="1" customFormat="1" x14ac:dyDescent="0.3">
      <c r="A57" s="9"/>
      <c r="E57" s="10"/>
    </row>
    <row r="58" spans="1:5" s="1" customFormat="1" x14ac:dyDescent="0.3">
      <c r="A58" s="9"/>
      <c r="E58" s="10"/>
    </row>
    <row r="59" spans="1:5" s="1" customFormat="1" x14ac:dyDescent="0.3">
      <c r="A59" s="9"/>
      <c r="E59" s="10"/>
    </row>
    <row r="60" spans="1:5" s="1" customFormat="1" x14ac:dyDescent="0.3">
      <c r="A60" s="9"/>
      <c r="E60" s="10"/>
    </row>
    <row r="61" spans="1:5" s="1" customFormat="1" x14ac:dyDescent="0.3">
      <c r="A61" s="9"/>
      <c r="E61" s="10"/>
    </row>
    <row r="62" spans="1:5" s="1" customFormat="1" x14ac:dyDescent="0.3">
      <c r="A62" s="9"/>
      <c r="E62" s="10"/>
    </row>
    <row r="63" spans="1:5" s="1" customFormat="1" x14ac:dyDescent="0.3">
      <c r="A63" s="9"/>
      <c r="E63" s="10"/>
    </row>
    <row r="64" spans="1:5" s="1" customFormat="1" x14ac:dyDescent="0.3">
      <c r="A64" s="9"/>
      <c r="E64" s="10"/>
    </row>
    <row r="65" spans="1:7" s="1" customFormat="1" x14ac:dyDescent="0.3">
      <c r="A65" s="9"/>
      <c r="E65" s="10"/>
    </row>
    <row r="66" spans="1:7" s="1" customFormat="1" x14ac:dyDescent="0.3">
      <c r="A66" s="9"/>
      <c r="E66" s="10"/>
    </row>
    <row r="67" spans="1:7" s="1" customFormat="1" x14ac:dyDescent="0.3">
      <c r="A67" s="9"/>
      <c r="E67" s="10"/>
    </row>
    <row r="68" spans="1:7" s="1" customFormat="1" x14ac:dyDescent="0.3">
      <c r="A68" s="9"/>
      <c r="E68" s="10"/>
    </row>
    <row r="69" spans="1:7" s="1" customFormat="1" x14ac:dyDescent="0.3">
      <c r="A69" s="9"/>
      <c r="E69" s="10"/>
    </row>
    <row r="70" spans="1:7" s="1" customFormat="1" x14ac:dyDescent="0.3">
      <c r="A70" s="9"/>
      <c r="E70" s="10"/>
    </row>
    <row r="71" spans="1:7" s="1" customFormat="1" x14ac:dyDescent="0.3">
      <c r="A71" s="11"/>
      <c r="B71" s="12"/>
      <c r="C71" s="12"/>
      <c r="D71" s="12"/>
      <c r="E71" s="13"/>
    </row>
    <row r="72" spans="1:7" s="1" customFormat="1" x14ac:dyDescent="0.3"/>
    <row r="73" spans="1:7" s="1" customFormat="1" x14ac:dyDescent="0.3">
      <c r="A73" s="75" t="s">
        <v>162</v>
      </c>
      <c r="B73" s="76"/>
      <c r="C73" s="76"/>
      <c r="D73" s="76"/>
      <c r="E73" s="77"/>
      <c r="G73" s="2"/>
    </row>
    <row r="74" spans="1:7" s="1" customFormat="1" x14ac:dyDescent="0.3">
      <c r="A74" s="4" t="s">
        <v>8</v>
      </c>
      <c r="B74" s="4" t="s">
        <v>9</v>
      </c>
      <c r="C74" s="4" t="s">
        <v>10</v>
      </c>
      <c r="D74" s="4" t="s">
        <v>11</v>
      </c>
      <c r="E74" s="4" t="s">
        <v>160</v>
      </c>
    </row>
    <row r="75" spans="1:7" s="1" customFormat="1" x14ac:dyDescent="0.3">
      <c r="A75" s="3" t="s">
        <v>28</v>
      </c>
      <c r="B75" s="3" t="s">
        <v>12</v>
      </c>
      <c r="C75" s="14">
        <v>15</v>
      </c>
      <c r="D75" s="3" t="s">
        <v>7</v>
      </c>
      <c r="E75" s="3" t="s">
        <v>26</v>
      </c>
    </row>
    <row r="76" spans="1:7" s="1" customFormat="1" x14ac:dyDescent="0.3">
      <c r="A76" s="3" t="s">
        <v>33</v>
      </c>
      <c r="B76" s="3" t="s">
        <v>31</v>
      </c>
      <c r="C76" s="33">
        <f>C28*C29*C75/2</f>
        <v>26.606250000000003</v>
      </c>
      <c r="D76" s="3" t="s">
        <v>18</v>
      </c>
      <c r="E76" s="3" t="s">
        <v>32</v>
      </c>
    </row>
    <row r="77" spans="1:7" s="1" customFormat="1" x14ac:dyDescent="0.3">
      <c r="A77" s="3" t="s">
        <v>27</v>
      </c>
      <c r="B77" s="3" t="s">
        <v>30</v>
      </c>
      <c r="C77" s="34">
        <f>(C24*C28+(C20+C22)*C25)*C75</f>
        <v>13.3125</v>
      </c>
      <c r="D77" s="3" t="s">
        <v>18</v>
      </c>
      <c r="E77" s="3" t="s">
        <v>58</v>
      </c>
    </row>
    <row r="78" spans="1:7" s="1" customFormat="1" ht="28.8" x14ac:dyDescent="0.3">
      <c r="A78" s="5" t="s">
        <v>228</v>
      </c>
      <c r="B78" s="3" t="s">
        <v>29</v>
      </c>
      <c r="C78" s="33">
        <f>2*C75*(C20+C22)</f>
        <v>57</v>
      </c>
      <c r="D78" s="3" t="s">
        <v>25</v>
      </c>
      <c r="E78" s="5" t="s">
        <v>110</v>
      </c>
    </row>
    <row r="79" spans="1:7" s="1" customFormat="1" x14ac:dyDescent="0.3">
      <c r="A79" s="3" t="s">
        <v>229</v>
      </c>
      <c r="B79" s="3" t="s">
        <v>22</v>
      </c>
      <c r="C79" s="33">
        <f>2*C75*(C29+C28)</f>
        <v>114</v>
      </c>
      <c r="D79" s="3" t="s">
        <v>25</v>
      </c>
      <c r="E79" s="3" t="s">
        <v>24</v>
      </c>
    </row>
    <row r="80" spans="1:7" s="1" customFormat="1" ht="15" thickBot="1" x14ac:dyDescent="0.35">
      <c r="A80" s="21" t="s">
        <v>231</v>
      </c>
      <c r="B80" s="21" t="s">
        <v>23</v>
      </c>
      <c r="C80" s="69">
        <f>C79*REFERENCIAS!E19</f>
        <v>920.37727272727261</v>
      </c>
      <c r="D80" s="21" t="s">
        <v>19</v>
      </c>
      <c r="E80" s="21" t="s">
        <v>232</v>
      </c>
    </row>
    <row r="81" spans="1:8" s="1" customFormat="1" x14ac:dyDescent="0.3">
      <c r="A81" s="16" t="s">
        <v>148</v>
      </c>
      <c r="B81" s="16" t="s">
        <v>150</v>
      </c>
      <c r="C81" s="66">
        <f>REFERENCIAS!B12</f>
        <v>7850</v>
      </c>
      <c r="D81" s="16" t="s">
        <v>63</v>
      </c>
      <c r="E81" s="16" t="s">
        <v>151</v>
      </c>
    </row>
    <row r="82" spans="1:8" s="1" customFormat="1" x14ac:dyDescent="0.3">
      <c r="A82" s="16" t="s">
        <v>149</v>
      </c>
      <c r="B82" s="16" t="s">
        <v>145</v>
      </c>
      <c r="C82" s="66">
        <f>REFERENCIAS!C3</f>
        <v>2200</v>
      </c>
      <c r="D82" s="16" t="s">
        <v>63</v>
      </c>
      <c r="E82" s="16" t="s">
        <v>146</v>
      </c>
    </row>
    <row r="83" spans="1:8" s="1" customFormat="1" x14ac:dyDescent="0.3">
      <c r="A83" s="16" t="s">
        <v>78</v>
      </c>
      <c r="B83" s="16" t="s">
        <v>135</v>
      </c>
      <c r="C83" s="32">
        <f>C82+C80/C77</f>
        <v>2269.1363209560391</v>
      </c>
      <c r="D83" s="16" t="s">
        <v>63</v>
      </c>
      <c r="E83" s="16" t="s">
        <v>147</v>
      </c>
    </row>
    <row r="84" spans="1:8" s="1" customFormat="1" x14ac:dyDescent="0.3">
      <c r="A84" s="3" t="s">
        <v>81</v>
      </c>
      <c r="B84" s="3" t="s">
        <v>84</v>
      </c>
      <c r="C84" s="33">
        <f>(C20+C22)*C25*C83</f>
        <v>1077.8397524541185</v>
      </c>
      <c r="D84" s="3" t="s">
        <v>62</v>
      </c>
      <c r="E84" s="3" t="s">
        <v>136</v>
      </c>
    </row>
    <row r="85" spans="1:8" s="1" customFormat="1" ht="15" thickBot="1" x14ac:dyDescent="0.35">
      <c r="A85" s="21" t="s">
        <v>82</v>
      </c>
      <c r="B85" s="21" t="s">
        <v>88</v>
      </c>
      <c r="C85" s="35">
        <f>C24*C28*C83</f>
        <v>936.01873239436622</v>
      </c>
      <c r="D85" s="21" t="s">
        <v>62</v>
      </c>
      <c r="E85" s="21" t="s">
        <v>137</v>
      </c>
    </row>
    <row r="86" spans="1:8" s="1" customFormat="1" x14ac:dyDescent="0.3">
      <c r="A86" s="16" t="s">
        <v>75</v>
      </c>
      <c r="B86" s="16" t="s">
        <v>87</v>
      </c>
      <c r="C86" s="32">
        <f>C84*(C26+C25/2)</f>
        <v>404.18990717029442</v>
      </c>
      <c r="D86" s="16" t="s">
        <v>71</v>
      </c>
      <c r="E86" s="16" t="s">
        <v>90</v>
      </c>
    </row>
    <row r="87" spans="1:8" s="1" customFormat="1" x14ac:dyDescent="0.3">
      <c r="A87" s="3" t="s">
        <v>76</v>
      </c>
      <c r="B87" s="3" t="s">
        <v>86</v>
      </c>
      <c r="C87" s="33">
        <f>C85*C28/2</f>
        <v>772.21545422535223</v>
      </c>
      <c r="D87" s="3" t="s">
        <v>71</v>
      </c>
      <c r="E87" s="3" t="s">
        <v>91</v>
      </c>
    </row>
    <row r="88" spans="1:8" s="1" customFormat="1" ht="28.8" x14ac:dyDescent="0.3">
      <c r="A88" s="3" t="s">
        <v>169</v>
      </c>
      <c r="B88" s="3" t="s">
        <v>106</v>
      </c>
      <c r="C88" s="33">
        <f>C28/6</f>
        <v>0.27500000000000002</v>
      </c>
      <c r="D88" s="3" t="s">
        <v>7</v>
      </c>
      <c r="E88" s="5" t="s">
        <v>180</v>
      </c>
    </row>
    <row r="89" spans="1:8" s="1" customFormat="1" x14ac:dyDescent="0.3"/>
    <row r="90" spans="1:8" s="1" customFormat="1" x14ac:dyDescent="0.3">
      <c r="A90" s="75" t="s">
        <v>220</v>
      </c>
      <c r="B90" s="76"/>
      <c r="C90" s="76"/>
      <c r="D90" s="76"/>
      <c r="E90" s="77"/>
    </row>
    <row r="91" spans="1:8" s="1" customFormat="1" x14ac:dyDescent="0.3">
      <c r="A91" s="4" t="s">
        <v>8</v>
      </c>
      <c r="B91" s="4" t="s">
        <v>9</v>
      </c>
      <c r="C91" s="4" t="s">
        <v>10</v>
      </c>
      <c r="D91" s="4" t="s">
        <v>11</v>
      </c>
      <c r="E91" s="4" t="s">
        <v>160</v>
      </c>
    </row>
    <row r="92" spans="1:8" s="1" customFormat="1" x14ac:dyDescent="0.3">
      <c r="A92" s="3" t="s">
        <v>116</v>
      </c>
      <c r="B92" s="17" t="s">
        <v>79</v>
      </c>
      <c r="C92" s="18">
        <v>2000</v>
      </c>
      <c r="D92" s="3" t="s">
        <v>63</v>
      </c>
      <c r="E92" s="3" t="s">
        <v>64</v>
      </c>
    </row>
    <row r="93" spans="1:8" s="1" customFormat="1" x14ac:dyDescent="0.3">
      <c r="A93" s="3" t="s">
        <v>112</v>
      </c>
      <c r="B93" s="17" t="s">
        <v>111</v>
      </c>
      <c r="C93" s="18">
        <f>2*100*100</f>
        <v>20000</v>
      </c>
      <c r="D93" s="3" t="s">
        <v>98</v>
      </c>
      <c r="E93" s="3" t="s">
        <v>179</v>
      </c>
    </row>
    <row r="94" spans="1:8" s="1" customFormat="1" x14ac:dyDescent="0.3">
      <c r="A94" s="3" t="s">
        <v>101</v>
      </c>
      <c r="B94" s="15" t="s">
        <v>47</v>
      </c>
      <c r="C94" s="18">
        <v>30</v>
      </c>
      <c r="D94" s="3" t="s">
        <v>49</v>
      </c>
      <c r="E94" s="3" t="s">
        <v>109</v>
      </c>
      <c r="H94" s="48"/>
    </row>
    <row r="95" spans="1:8" s="1" customFormat="1" x14ac:dyDescent="0.3">
      <c r="A95" s="3" t="s">
        <v>83</v>
      </c>
      <c r="B95" s="3" t="s">
        <v>85</v>
      </c>
      <c r="C95" s="33">
        <f>C92*C27*(C20+C22+(C30-C29)/2)</f>
        <v>4485.7037575130353</v>
      </c>
      <c r="D95" s="3" t="s">
        <v>62</v>
      </c>
      <c r="E95" s="3" t="s">
        <v>233</v>
      </c>
    </row>
    <row r="96" spans="1:8" s="1" customFormat="1" ht="15" thickBot="1" x14ac:dyDescent="0.35">
      <c r="A96" s="22" t="s">
        <v>102</v>
      </c>
      <c r="B96" s="25" t="s">
        <v>48</v>
      </c>
      <c r="C96" s="36">
        <f>C94*2/3</f>
        <v>20</v>
      </c>
      <c r="D96" s="22" t="s">
        <v>49</v>
      </c>
      <c r="E96" s="22" t="s">
        <v>176</v>
      </c>
    </row>
    <row r="97" spans="1:6" s="1" customFormat="1" x14ac:dyDescent="0.3">
      <c r="A97" s="16" t="s">
        <v>59</v>
      </c>
      <c r="B97" s="16" t="s">
        <v>60</v>
      </c>
      <c r="C97" s="32">
        <f>(1-SIN(C94*PI()/180))/(1+SIN(C94*PI()/180))</f>
        <v>0.33333333333333331</v>
      </c>
      <c r="D97" s="16" t="s">
        <v>50</v>
      </c>
      <c r="E97" s="16" t="s">
        <v>174</v>
      </c>
      <c r="F97" s="20"/>
    </row>
    <row r="98" spans="1:6" s="1" customFormat="1" x14ac:dyDescent="0.3">
      <c r="A98" s="3" t="s">
        <v>94</v>
      </c>
      <c r="B98" s="3" t="s">
        <v>95</v>
      </c>
      <c r="C98" s="33">
        <f>(1+SIN(C94*PI()/180))/(1-SIN(C94*PI()/180))</f>
        <v>3</v>
      </c>
      <c r="D98" s="3" t="s">
        <v>50</v>
      </c>
      <c r="E98" s="3" t="s">
        <v>175</v>
      </c>
      <c r="F98" s="20"/>
    </row>
    <row r="99" spans="1:6" s="1" customFormat="1" x14ac:dyDescent="0.3">
      <c r="A99" s="3" t="s">
        <v>96</v>
      </c>
      <c r="B99" s="3" t="s">
        <v>97</v>
      </c>
      <c r="C99" s="46">
        <f>0.25*1000/9.91</f>
        <v>25.227043390514631</v>
      </c>
      <c r="D99" s="3" t="s">
        <v>98</v>
      </c>
      <c r="E99" s="3" t="s">
        <v>235</v>
      </c>
      <c r="F99" s="20"/>
    </row>
    <row r="100" spans="1:6" s="1" customFormat="1" ht="15" thickBot="1" x14ac:dyDescent="0.35">
      <c r="A100" s="22" t="s">
        <v>103</v>
      </c>
      <c r="B100" s="22" t="s">
        <v>104</v>
      </c>
      <c r="C100" s="37">
        <f>TAN(C96*PI()/180)</f>
        <v>0.36397023426620234</v>
      </c>
      <c r="D100" s="22" t="s">
        <v>50</v>
      </c>
      <c r="E100" s="22" t="s">
        <v>177</v>
      </c>
      <c r="F100" s="20"/>
    </row>
    <row r="101" spans="1:6" s="1" customFormat="1" x14ac:dyDescent="0.3">
      <c r="A101" s="16" t="s">
        <v>61</v>
      </c>
      <c r="B101" s="16" t="s">
        <v>65</v>
      </c>
      <c r="C101" s="32">
        <f>0.5*C92*(C30^2)*C97</f>
        <v>1688.4180694151455</v>
      </c>
      <c r="D101" s="16" t="s">
        <v>62</v>
      </c>
      <c r="E101" s="16" t="s">
        <v>80</v>
      </c>
    </row>
    <row r="102" spans="1:6" s="1" customFormat="1" x14ac:dyDescent="0.3">
      <c r="A102" s="3" t="s">
        <v>66</v>
      </c>
      <c r="B102" s="3" t="s">
        <v>68</v>
      </c>
      <c r="C102" s="33">
        <f>C101*COS(C21*PI()/180)</f>
        <v>1681.9931289136687</v>
      </c>
      <c r="D102" s="3" t="s">
        <v>62</v>
      </c>
      <c r="E102" s="3" t="s">
        <v>72</v>
      </c>
    </row>
    <row r="103" spans="1:6" s="1" customFormat="1" x14ac:dyDescent="0.3">
      <c r="A103" s="3" t="s">
        <v>100</v>
      </c>
      <c r="B103" s="3" t="s">
        <v>99</v>
      </c>
      <c r="C103" s="33">
        <f>C92*C98*(C24+C22)^2</f>
        <v>960.00000000000023</v>
      </c>
      <c r="D103" s="3" t="s">
        <v>62</v>
      </c>
      <c r="E103" s="3" t="s">
        <v>213</v>
      </c>
    </row>
    <row r="104" spans="1:6" s="1" customFormat="1" ht="15" thickBot="1" x14ac:dyDescent="0.35">
      <c r="A104" s="21" t="s">
        <v>67</v>
      </c>
      <c r="B104" s="21" t="s">
        <v>69</v>
      </c>
      <c r="C104" s="35">
        <f>C101*SIN(C21*PI()/180)</f>
        <v>147.15533090844406</v>
      </c>
      <c r="D104" s="21" t="s">
        <v>62</v>
      </c>
      <c r="E104" s="21" t="s">
        <v>73</v>
      </c>
    </row>
    <row r="105" spans="1:6" s="1" customFormat="1" x14ac:dyDescent="0.3">
      <c r="A105" s="24" t="s">
        <v>117</v>
      </c>
      <c r="B105" s="24" t="s">
        <v>70</v>
      </c>
      <c r="C105" s="38">
        <f>C102*C30/3</f>
        <v>1261.8379525696994</v>
      </c>
      <c r="D105" s="16" t="s">
        <v>71</v>
      </c>
      <c r="E105" s="24" t="s">
        <v>74</v>
      </c>
    </row>
    <row r="106" spans="1:6" s="1" customFormat="1" ht="15" thickBot="1" x14ac:dyDescent="0.35">
      <c r="A106" s="23" t="s">
        <v>118</v>
      </c>
      <c r="B106" s="23" t="s">
        <v>124</v>
      </c>
      <c r="C106" s="39">
        <f>C104*C28+C95*(C28-C27/2)</f>
        <v>5064.9378353254469</v>
      </c>
      <c r="D106" s="21" t="s">
        <v>71</v>
      </c>
      <c r="E106" s="23" t="s">
        <v>182</v>
      </c>
    </row>
    <row r="107" spans="1:6" s="1" customFormat="1" x14ac:dyDescent="0.3">
      <c r="A107" s="16" t="s">
        <v>119</v>
      </c>
      <c r="B107" s="16" t="s">
        <v>77</v>
      </c>
      <c r="C107" s="32">
        <f>C104+C95+C84+C85</f>
        <v>6646.7175732699643</v>
      </c>
      <c r="D107" s="16" t="s">
        <v>62</v>
      </c>
      <c r="E107" s="16" t="s">
        <v>92</v>
      </c>
    </row>
    <row r="108" spans="1:6" s="1" customFormat="1" x14ac:dyDescent="0.3">
      <c r="A108" s="3" t="s">
        <v>120</v>
      </c>
      <c r="B108" s="3" t="s">
        <v>121</v>
      </c>
      <c r="C108" s="33">
        <f>C107*C100+C99*C28+C103</f>
        <v>3420.8319738387027</v>
      </c>
      <c r="D108" s="3" t="s">
        <v>62</v>
      </c>
      <c r="E108" s="5" t="s">
        <v>123</v>
      </c>
    </row>
    <row r="109" spans="1:6" s="1" customFormat="1" x14ac:dyDescent="0.3">
      <c r="A109" s="84"/>
      <c r="B109" s="84"/>
      <c r="C109" s="84"/>
      <c r="D109" s="84"/>
      <c r="E109" s="84"/>
    </row>
    <row r="110" spans="1:6" s="1" customFormat="1" x14ac:dyDescent="0.3">
      <c r="A110" s="84"/>
      <c r="B110" s="84"/>
      <c r="C110" s="84"/>
      <c r="D110" s="84"/>
      <c r="E110" s="84"/>
    </row>
    <row r="111" spans="1:6" s="1" customFormat="1" x14ac:dyDescent="0.3">
      <c r="A111" s="84"/>
      <c r="B111" s="84"/>
      <c r="C111" s="84"/>
      <c r="D111" s="84"/>
      <c r="E111" s="84"/>
    </row>
    <row r="112" spans="1:6" s="1" customFormat="1" x14ac:dyDescent="0.3">
      <c r="A112" s="84"/>
      <c r="B112" s="84"/>
      <c r="C112" s="84"/>
      <c r="D112" s="84"/>
      <c r="E112" s="84"/>
    </row>
    <row r="113" spans="1:5" s="1" customFormat="1" x14ac:dyDescent="0.3">
      <c r="A113" s="84"/>
      <c r="B113" s="84"/>
      <c r="C113" s="84"/>
      <c r="D113" s="84"/>
      <c r="E113" s="84"/>
    </row>
    <row r="114" spans="1:5" s="1" customFormat="1" x14ac:dyDescent="0.3">
      <c r="A114" s="84"/>
      <c r="B114" s="84"/>
      <c r="C114" s="84"/>
      <c r="D114" s="84"/>
      <c r="E114" s="84"/>
    </row>
    <row r="115" spans="1:5" s="1" customFormat="1" x14ac:dyDescent="0.3">
      <c r="A115" s="84"/>
      <c r="B115" s="84"/>
      <c r="C115" s="84"/>
      <c r="D115" s="84"/>
      <c r="E115" s="84"/>
    </row>
    <row r="116" spans="1:5" s="1" customFormat="1" x14ac:dyDescent="0.3">
      <c r="A116" s="84"/>
      <c r="B116" s="84"/>
      <c r="C116" s="84"/>
      <c r="D116" s="84"/>
      <c r="E116" s="84"/>
    </row>
    <row r="117" spans="1:5" s="1" customFormat="1" x14ac:dyDescent="0.3">
      <c r="A117" s="84"/>
      <c r="B117" s="84"/>
      <c r="C117" s="84"/>
      <c r="D117" s="84"/>
      <c r="E117" s="84"/>
    </row>
    <row r="118" spans="1:5" s="1" customFormat="1" x14ac:dyDescent="0.3">
      <c r="A118" s="84"/>
      <c r="B118" s="84"/>
      <c r="C118" s="84"/>
      <c r="D118" s="84"/>
      <c r="E118" s="84"/>
    </row>
    <row r="119" spans="1:5" s="1" customFormat="1" x14ac:dyDescent="0.3">
      <c r="A119" s="84"/>
      <c r="B119" s="84"/>
      <c r="C119" s="84"/>
      <c r="D119" s="84"/>
      <c r="E119" s="84"/>
    </row>
    <row r="120" spans="1:5" s="1" customFormat="1" x14ac:dyDescent="0.3">
      <c r="A120" s="84"/>
      <c r="B120" s="84"/>
      <c r="C120" s="84"/>
      <c r="D120" s="84"/>
      <c r="E120" s="84"/>
    </row>
    <row r="121" spans="1:5" s="1" customFormat="1" x14ac:dyDescent="0.3">
      <c r="A121" s="84"/>
      <c r="B121" s="84"/>
      <c r="C121" s="84"/>
      <c r="D121" s="84"/>
      <c r="E121" s="84"/>
    </row>
    <row r="122" spans="1:5" s="1" customFormat="1" x14ac:dyDescent="0.3">
      <c r="A122" s="84"/>
      <c r="B122" s="84"/>
      <c r="C122" s="84"/>
      <c r="D122" s="84"/>
      <c r="E122" s="84"/>
    </row>
    <row r="123" spans="1:5" s="1" customFormat="1" x14ac:dyDescent="0.3">
      <c r="A123" s="84"/>
      <c r="B123" s="84"/>
      <c r="C123" s="84"/>
      <c r="D123" s="84"/>
      <c r="E123" s="84"/>
    </row>
    <row r="124" spans="1:5" s="1" customFormat="1" x14ac:dyDescent="0.3">
      <c r="A124" s="84"/>
      <c r="B124" s="84"/>
      <c r="C124" s="84"/>
      <c r="D124" s="84"/>
      <c r="E124" s="84"/>
    </row>
    <row r="125" spans="1:5" s="1" customFormat="1" x14ac:dyDescent="0.3">
      <c r="A125" s="84"/>
      <c r="B125" s="84"/>
      <c r="C125" s="84"/>
      <c r="D125" s="84"/>
      <c r="E125" s="84"/>
    </row>
    <row r="126" spans="1:5" s="1" customFormat="1" x14ac:dyDescent="0.3">
      <c r="A126" s="84"/>
      <c r="B126" s="84"/>
      <c r="C126" s="84"/>
      <c r="D126" s="84"/>
      <c r="E126" s="84"/>
    </row>
    <row r="127" spans="1:5" s="1" customFormat="1" x14ac:dyDescent="0.3">
      <c r="A127" s="84"/>
      <c r="B127" s="84"/>
      <c r="C127" s="84"/>
      <c r="D127" s="84"/>
      <c r="E127" s="84"/>
    </row>
    <row r="128" spans="1:5" s="1" customFormat="1" x14ac:dyDescent="0.3">
      <c r="A128" s="84"/>
      <c r="B128" s="84"/>
      <c r="C128" s="84"/>
      <c r="D128" s="84"/>
      <c r="E128" s="84"/>
    </row>
    <row r="129" spans="1:5" s="1" customFormat="1" x14ac:dyDescent="0.3">
      <c r="A129" s="84"/>
      <c r="B129" s="84"/>
      <c r="C129" s="84"/>
      <c r="D129" s="84"/>
      <c r="E129" s="84"/>
    </row>
    <row r="130" spans="1:5" s="1" customFormat="1" x14ac:dyDescent="0.3">
      <c r="A130" s="84"/>
      <c r="B130" s="84"/>
      <c r="C130" s="84"/>
      <c r="D130" s="84"/>
      <c r="E130" s="84"/>
    </row>
    <row r="131" spans="1:5" s="1" customFormat="1" x14ac:dyDescent="0.3">
      <c r="A131" s="84"/>
      <c r="B131" s="84"/>
      <c r="C131" s="84"/>
      <c r="D131" s="84"/>
      <c r="E131" s="84"/>
    </row>
    <row r="132" spans="1:5" s="1" customFormat="1" x14ac:dyDescent="0.3">
      <c r="A132" s="84"/>
      <c r="B132" s="84"/>
      <c r="C132" s="84"/>
      <c r="D132" s="84"/>
      <c r="E132" s="84"/>
    </row>
    <row r="133" spans="1:5" s="1" customFormat="1" x14ac:dyDescent="0.3">
      <c r="A133" s="84"/>
      <c r="B133" s="84"/>
      <c r="C133" s="84"/>
      <c r="D133" s="84"/>
      <c r="E133" s="84"/>
    </row>
    <row r="134" spans="1:5" s="1" customFormat="1" x14ac:dyDescent="0.3">
      <c r="A134" s="84"/>
      <c r="B134" s="84"/>
      <c r="C134" s="84"/>
      <c r="D134" s="84"/>
      <c r="E134" s="84"/>
    </row>
    <row r="135" spans="1:5" s="1" customFormat="1" x14ac:dyDescent="0.3">
      <c r="A135" s="84"/>
      <c r="B135" s="84"/>
      <c r="C135" s="84"/>
      <c r="D135" s="84"/>
      <c r="E135" s="84"/>
    </row>
    <row r="136" spans="1:5" s="1" customFormat="1" x14ac:dyDescent="0.3">
      <c r="A136" s="84"/>
      <c r="B136" s="84"/>
      <c r="C136" s="84"/>
      <c r="D136" s="84"/>
      <c r="E136" s="84"/>
    </row>
    <row r="137" spans="1:5" s="1" customFormat="1" x14ac:dyDescent="0.3">
      <c r="A137" s="84"/>
      <c r="B137" s="84"/>
      <c r="C137" s="84"/>
      <c r="D137" s="84"/>
      <c r="E137" s="84"/>
    </row>
    <row r="138" spans="1:5" s="1" customFormat="1" x14ac:dyDescent="0.3">
      <c r="A138" s="84"/>
      <c r="B138" s="84"/>
      <c r="C138" s="84"/>
      <c r="D138" s="84"/>
      <c r="E138" s="84"/>
    </row>
    <row r="139" spans="1:5" s="1" customFormat="1" x14ac:dyDescent="0.3">
      <c r="A139" s="84"/>
      <c r="B139" s="84"/>
      <c r="C139" s="84"/>
      <c r="D139" s="84"/>
      <c r="E139" s="84"/>
    </row>
    <row r="140" spans="1:5" s="1" customFormat="1" x14ac:dyDescent="0.3">
      <c r="A140" s="84"/>
      <c r="B140" s="84"/>
      <c r="C140" s="84"/>
      <c r="D140" s="84"/>
      <c r="E140" s="84"/>
    </row>
    <row r="141" spans="1:5" s="1" customFormat="1" x14ac:dyDescent="0.3">
      <c r="A141" s="84"/>
      <c r="B141" s="84"/>
      <c r="C141" s="84"/>
      <c r="D141" s="84"/>
      <c r="E141" s="84"/>
    </row>
    <row r="142" spans="1:5" s="1" customFormat="1" x14ac:dyDescent="0.3">
      <c r="A142" s="84"/>
      <c r="B142" s="84"/>
      <c r="C142" s="84"/>
      <c r="D142" s="84"/>
      <c r="E142" s="84"/>
    </row>
    <row r="143" spans="1:5" s="1" customFormat="1" x14ac:dyDescent="0.3">
      <c r="A143" s="84"/>
      <c r="B143" s="84"/>
      <c r="C143" s="84"/>
      <c r="D143" s="84"/>
      <c r="E143" s="84"/>
    </row>
    <row r="144" spans="1:5" s="1" customFormat="1" x14ac:dyDescent="0.3"/>
    <row r="145" spans="1:7" s="1" customFormat="1" x14ac:dyDescent="0.3">
      <c r="A145" s="75" t="s">
        <v>163</v>
      </c>
      <c r="B145" s="76"/>
      <c r="C145" s="76"/>
      <c r="D145" s="76"/>
      <c r="E145" s="77"/>
    </row>
    <row r="146" spans="1:7" s="1" customFormat="1" x14ac:dyDescent="0.3">
      <c r="A146" s="4" t="s">
        <v>8</v>
      </c>
      <c r="B146" s="4" t="s">
        <v>9</v>
      </c>
      <c r="C146" s="4" t="s">
        <v>10</v>
      </c>
      <c r="D146" s="4" t="s">
        <v>11</v>
      </c>
      <c r="E146" s="4" t="s">
        <v>160</v>
      </c>
    </row>
    <row r="147" spans="1:7" s="1" customFormat="1" x14ac:dyDescent="0.3">
      <c r="A147" s="3" t="s">
        <v>89</v>
      </c>
      <c r="B147" s="3" t="s">
        <v>107</v>
      </c>
      <c r="C147" s="29">
        <f>(C86+C87+C106)/C105</f>
        <v>4.9462319499986229</v>
      </c>
      <c r="D147" s="3" t="s">
        <v>50</v>
      </c>
      <c r="E147" s="3" t="s">
        <v>125</v>
      </c>
      <c r="G147" s="28" t="str">
        <f>IF(C147&gt;=2,"CORRECTO","NO CUMPLE")</f>
        <v>CORRECTO</v>
      </c>
    </row>
    <row r="148" spans="1:7" s="1" customFormat="1" x14ac:dyDescent="0.3">
      <c r="A148" s="19" t="s">
        <v>93</v>
      </c>
      <c r="B148" s="19" t="s">
        <v>108</v>
      </c>
      <c r="C148" s="30">
        <f>C108/C102</f>
        <v>2.0337966398519591</v>
      </c>
      <c r="D148" s="3" t="s">
        <v>50</v>
      </c>
      <c r="E148" s="19" t="s">
        <v>122</v>
      </c>
      <c r="G148" s="28" t="str">
        <f>IF(C148&gt;=1.5,"CORRECTO","NO CUMPLE")</f>
        <v>CORRECTO</v>
      </c>
    </row>
    <row r="149" spans="1:7" s="1" customFormat="1" ht="28.8" x14ac:dyDescent="0.3">
      <c r="A149" s="3" t="s">
        <v>113</v>
      </c>
      <c r="B149" s="3" t="s">
        <v>114</v>
      </c>
      <c r="C149" s="29">
        <f>C93/(C107/C28*(1+6*C150/C28))</f>
        <v>3.8917028735475441</v>
      </c>
      <c r="D149" s="3" t="s">
        <v>50</v>
      </c>
      <c r="E149" s="5" t="s">
        <v>221</v>
      </c>
      <c r="G149" s="28" t="str">
        <f>IF(C149&gt;=3,"CORRECTO","NO CUMPLE")</f>
        <v>CORRECTO</v>
      </c>
    </row>
    <row r="150" spans="1:7" s="1" customFormat="1" x14ac:dyDescent="0.3">
      <c r="A150" s="19" t="s">
        <v>105</v>
      </c>
      <c r="B150" s="19" t="s">
        <v>115</v>
      </c>
      <c r="C150" s="30">
        <f>C28/2-(C106+C86+C87-C105)/C107</f>
        <v>7.5832431307647274E-2</v>
      </c>
      <c r="D150" s="3" t="s">
        <v>50</v>
      </c>
      <c r="E150" s="19" t="s">
        <v>126</v>
      </c>
      <c r="G150" s="28" t="str">
        <f>IF(C150&lt;C88,"CORRECTO","NO CUMPLE")</f>
        <v>CORRECTO</v>
      </c>
    </row>
    <row r="151" spans="1:7" s="1" customFormat="1" x14ac:dyDescent="0.3"/>
    <row r="152" spans="1:7" s="1" customFormat="1" x14ac:dyDescent="0.3">
      <c r="A152" s="75" t="s">
        <v>164</v>
      </c>
      <c r="B152" s="76"/>
      <c r="C152" s="76"/>
      <c r="D152" s="76"/>
      <c r="E152" s="77"/>
    </row>
    <row r="153" spans="1:7" s="1" customFormat="1" x14ac:dyDescent="0.3">
      <c r="A153" s="4" t="s">
        <v>8</v>
      </c>
      <c r="B153" s="4" t="s">
        <v>9</v>
      </c>
      <c r="C153" s="4" t="s">
        <v>10</v>
      </c>
      <c r="D153" s="4" t="s">
        <v>11</v>
      </c>
      <c r="E153" s="4" t="s">
        <v>160</v>
      </c>
    </row>
    <row r="154" spans="1:7" s="1" customFormat="1" x14ac:dyDescent="0.3">
      <c r="A154" s="3" t="s">
        <v>153</v>
      </c>
      <c r="B154" s="3" t="s">
        <v>127</v>
      </c>
      <c r="C154" s="64">
        <f>REFERENCIAS!C12</f>
        <v>5096.8399592252799</v>
      </c>
      <c r="D154" s="3" t="s">
        <v>138</v>
      </c>
      <c r="E154" s="3" t="s">
        <v>152</v>
      </c>
    </row>
    <row r="155" spans="1:7" s="1" customFormat="1" x14ac:dyDescent="0.3">
      <c r="A155" s="3" t="s">
        <v>128</v>
      </c>
      <c r="B155" s="3" t="s">
        <v>141</v>
      </c>
      <c r="C155" s="64">
        <f>REFERENCIAS!B3</f>
        <v>254.84199796126398</v>
      </c>
      <c r="D155" s="3" t="s">
        <v>138</v>
      </c>
      <c r="E155" s="3" t="s">
        <v>144</v>
      </c>
    </row>
    <row r="156" spans="1:7" s="1" customFormat="1" ht="28.8" x14ac:dyDescent="0.3">
      <c r="A156" s="3" t="s">
        <v>222</v>
      </c>
      <c r="B156" s="3" t="s">
        <v>142</v>
      </c>
      <c r="C156" s="33">
        <f>0.1*C155+REFERENCIAS!D19*C154/C25</f>
        <v>48.541760556418453</v>
      </c>
      <c r="D156" s="3" t="s">
        <v>138</v>
      </c>
      <c r="E156" s="5" t="s">
        <v>238</v>
      </c>
    </row>
    <row r="157" spans="1:7" s="1" customFormat="1" ht="15" thickBot="1" x14ac:dyDescent="0.35">
      <c r="A157" s="22" t="s">
        <v>140</v>
      </c>
      <c r="B157" s="22" t="s">
        <v>143</v>
      </c>
      <c r="C157" s="37">
        <f>C155/3</f>
        <v>84.947332653754657</v>
      </c>
      <c r="D157" s="22" t="s">
        <v>138</v>
      </c>
      <c r="E157" s="21" t="s">
        <v>183</v>
      </c>
    </row>
    <row r="158" spans="1:7" s="1" customFormat="1" ht="28.8" x14ac:dyDescent="0.3">
      <c r="A158" s="16" t="s">
        <v>131</v>
      </c>
      <c r="B158" s="16" t="s">
        <v>132</v>
      </c>
      <c r="C158" s="32">
        <f>C102*C75*(C30/3)*(C25/2)/((C75*C25^3)/12)/10000+C84/C25/10000</f>
        <v>12.54478024565076</v>
      </c>
      <c r="D158" s="16" t="s">
        <v>138</v>
      </c>
      <c r="E158" s="43" t="s">
        <v>240</v>
      </c>
    </row>
    <row r="159" spans="1:7" s="1" customFormat="1" ht="28.8" x14ac:dyDescent="0.3">
      <c r="A159" s="3" t="s">
        <v>130</v>
      </c>
      <c r="B159" s="3" t="s">
        <v>133</v>
      </c>
      <c r="C159" s="33">
        <f>C102*C75*(C30/3)*(C25/2)/((C75*C25^3)/12)/10000 - C84/C25/10000</f>
        <v>11.682508443687464</v>
      </c>
      <c r="D159" s="3" t="s">
        <v>138</v>
      </c>
      <c r="E159" s="43" t="s">
        <v>239</v>
      </c>
    </row>
    <row r="160" spans="1:7" s="1" customFormat="1" ht="15" thickBot="1" x14ac:dyDescent="0.35">
      <c r="A160" s="21" t="s">
        <v>129</v>
      </c>
      <c r="B160" s="21" t="s">
        <v>134</v>
      </c>
      <c r="C160" s="35">
        <f>1.5*C102*C75/(C25*100*C75*100)</f>
        <v>1.0091958773482013</v>
      </c>
      <c r="D160" s="21" t="s">
        <v>138</v>
      </c>
      <c r="E160" s="21" t="s">
        <v>139</v>
      </c>
    </row>
    <row r="161" spans="1:7" s="1" customFormat="1" ht="14.4" customHeight="1" x14ac:dyDescent="0.3">
      <c r="A161" s="27" t="s">
        <v>154</v>
      </c>
      <c r="B161" s="16" t="s">
        <v>157</v>
      </c>
      <c r="C161" s="31">
        <f>C155/C158</f>
        <v>20.31458447027137</v>
      </c>
      <c r="D161" s="16" t="s">
        <v>50</v>
      </c>
      <c r="E161" s="16" t="s">
        <v>199</v>
      </c>
      <c r="G161" s="28" t="str">
        <f>IF(C161&gt;=1.5,"CORRECTO","NO CUMPLE")</f>
        <v>CORRECTO</v>
      </c>
    </row>
    <row r="162" spans="1:7" s="1" customFormat="1" x14ac:dyDescent="0.3">
      <c r="A162" s="3" t="s">
        <v>155</v>
      </c>
      <c r="B162" s="3" t="s">
        <v>158</v>
      </c>
      <c r="C162" s="31">
        <f t="shared" ref="C162:C163" si="0">C156/C159</f>
        <v>4.1550802886556051</v>
      </c>
      <c r="D162" s="3" t="s">
        <v>50</v>
      </c>
      <c r="E162" s="16" t="s">
        <v>200</v>
      </c>
      <c r="G162" s="28" t="str">
        <f t="shared" ref="G162:G163" si="1">IF(C162&gt;=1.5,"CORRECTO","NO CUMPLE")</f>
        <v>CORRECTO</v>
      </c>
    </row>
    <row r="163" spans="1:7" s="1" customFormat="1" x14ac:dyDescent="0.3">
      <c r="A163" s="3" t="s">
        <v>156</v>
      </c>
      <c r="B163" s="3" t="s">
        <v>159</v>
      </c>
      <c r="C163" s="31">
        <f t="shared" si="0"/>
        <v>84.173285444809054</v>
      </c>
      <c r="D163" s="3" t="s">
        <v>50</v>
      </c>
      <c r="E163" s="16" t="s">
        <v>201</v>
      </c>
      <c r="G163" s="28" t="str">
        <f t="shared" si="1"/>
        <v>CORRECTO</v>
      </c>
    </row>
    <row r="164" spans="1:7" s="1" customFormat="1" x14ac:dyDescent="0.3">
      <c r="A164" s="81" t="s">
        <v>173</v>
      </c>
      <c r="B164" s="82"/>
      <c r="C164" s="82"/>
      <c r="D164" s="82"/>
      <c r="E164" s="83"/>
    </row>
    <row r="165" spans="1:7" s="1" customFormat="1" x14ac:dyDescent="0.3"/>
    <row r="166" spans="1:7" s="1" customFormat="1" x14ac:dyDescent="0.3">
      <c r="A166" s="75" t="s">
        <v>216</v>
      </c>
      <c r="B166" s="76"/>
      <c r="C166" s="76"/>
      <c r="D166" s="76"/>
      <c r="E166" s="77"/>
      <c r="G166" s="2"/>
    </row>
    <row r="167" spans="1:7" s="1" customFormat="1" x14ac:dyDescent="0.3">
      <c r="A167" s="4" t="s">
        <v>42</v>
      </c>
      <c r="B167" s="4" t="s">
        <v>34</v>
      </c>
      <c r="C167" s="4" t="s">
        <v>35</v>
      </c>
      <c r="D167" s="4" t="s">
        <v>36</v>
      </c>
      <c r="E167" s="4" t="s">
        <v>160</v>
      </c>
    </row>
    <row r="168" spans="1:7" s="1" customFormat="1" x14ac:dyDescent="0.3">
      <c r="A168" s="3" t="s">
        <v>37</v>
      </c>
      <c r="B168" s="33">
        <f>C76</f>
        <v>26.606250000000003</v>
      </c>
      <c r="C168" s="62">
        <v>65</v>
      </c>
      <c r="D168" s="40">
        <f>C168*B168</f>
        <v>1729.4062500000002</v>
      </c>
      <c r="E168" s="3" t="s">
        <v>38</v>
      </c>
    </row>
    <row r="169" spans="1:7" s="1" customFormat="1" x14ac:dyDescent="0.3">
      <c r="A169" s="3" t="s">
        <v>202</v>
      </c>
      <c r="B169" s="33">
        <f>C77</f>
        <v>13.3125</v>
      </c>
      <c r="C169" s="62">
        <f>REFERENCIAS!D3</f>
        <v>135</v>
      </c>
      <c r="D169" s="40">
        <f t="shared" ref="D169:D171" si="2">C169*B169</f>
        <v>1797.1875</v>
      </c>
      <c r="E169" s="3" t="s">
        <v>40</v>
      </c>
    </row>
    <row r="170" spans="1:7" s="1" customFormat="1" ht="28.8" x14ac:dyDescent="0.3">
      <c r="A170" s="5" t="s">
        <v>234</v>
      </c>
      <c r="B170" s="33">
        <f>C78</f>
        <v>57</v>
      </c>
      <c r="C170" s="62">
        <v>45</v>
      </c>
      <c r="D170" s="40">
        <f t="shared" si="2"/>
        <v>2565</v>
      </c>
      <c r="E170" s="3" t="s">
        <v>39</v>
      </c>
    </row>
    <row r="171" spans="1:7" s="1" customFormat="1" ht="15" thickBot="1" x14ac:dyDescent="0.35">
      <c r="A171" s="26" t="s">
        <v>214</v>
      </c>
      <c r="B171" s="35">
        <f>C79</f>
        <v>114</v>
      </c>
      <c r="C171" s="63">
        <f>REFERENCIAS!F19</f>
        <v>8.67</v>
      </c>
      <c r="D171" s="41">
        <f t="shared" si="2"/>
        <v>988.38</v>
      </c>
      <c r="E171" s="21" t="s">
        <v>207</v>
      </c>
    </row>
    <row r="172" spans="1:7" s="1" customFormat="1" x14ac:dyDescent="0.3">
      <c r="A172" s="73" t="s">
        <v>217</v>
      </c>
      <c r="B172" s="73"/>
      <c r="C172" s="73"/>
      <c r="D172" s="42">
        <f>SUM(D168:D171)</f>
        <v>7079.9737500000001</v>
      </c>
      <c r="E172" s="16" t="s">
        <v>46</v>
      </c>
    </row>
    <row r="173" spans="1:7" s="1" customFormat="1" x14ac:dyDescent="0.3">
      <c r="A173" s="74" t="s">
        <v>218</v>
      </c>
      <c r="B173" s="74"/>
      <c r="C173" s="74"/>
      <c r="D173" s="40">
        <f>D172*(1+0.13+0.06)</f>
        <v>8425.1687624999995</v>
      </c>
      <c r="E173" s="3" t="s">
        <v>41</v>
      </c>
    </row>
    <row r="174" spans="1:7" s="1" customFormat="1" x14ac:dyDescent="0.3"/>
    <row r="175" spans="1:7" s="1" customFormat="1" x14ac:dyDescent="0.3"/>
    <row r="176" spans="1:7" s="1" customFormat="1" x14ac:dyDescent="0.3"/>
    <row r="177" spans="1:2" s="1" customFormat="1" x14ac:dyDescent="0.3"/>
    <row r="178" spans="1:2" s="1" customFormat="1" x14ac:dyDescent="0.3"/>
    <row r="179" spans="1:2" s="1" customFormat="1" x14ac:dyDescent="0.3"/>
    <row r="180" spans="1:2" s="1" customFormat="1" x14ac:dyDescent="0.3"/>
    <row r="181" spans="1:2" s="1" customFormat="1" x14ac:dyDescent="0.3"/>
    <row r="182" spans="1:2" s="1" customFormat="1" x14ac:dyDescent="0.3"/>
    <row r="183" spans="1:2" s="1" customFormat="1" x14ac:dyDescent="0.3">
      <c r="A183" s="49" t="s">
        <v>178</v>
      </c>
      <c r="B183" s="50" t="s">
        <v>178</v>
      </c>
    </row>
    <row r="184" spans="1:2" s="1" customFormat="1" x14ac:dyDescent="0.3"/>
    <row r="185" spans="1:2" s="1" customFormat="1" x14ac:dyDescent="0.3"/>
    <row r="186" spans="1:2" s="1" customFormat="1" x14ac:dyDescent="0.3"/>
    <row r="187" spans="1:2" s="1" customFormat="1" x14ac:dyDescent="0.3"/>
    <row r="188" spans="1:2" s="1" customFormat="1" x14ac:dyDescent="0.3"/>
    <row r="189" spans="1:2" s="1" customFormat="1" x14ac:dyDescent="0.3"/>
    <row r="190" spans="1:2" s="1" customFormat="1" x14ac:dyDescent="0.3"/>
    <row r="191" spans="1:2" s="1" customFormat="1" x14ac:dyDescent="0.3"/>
    <row r="192" spans="1: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</sheetData>
  <mergeCells count="24">
    <mergeCell ref="A73:E73"/>
    <mergeCell ref="A90:E90"/>
    <mergeCell ref="B13:E13"/>
    <mergeCell ref="A166:E166"/>
    <mergeCell ref="A109:E143"/>
    <mergeCell ref="A152:E152"/>
    <mergeCell ref="A164:E164"/>
    <mergeCell ref="A145:E145"/>
    <mergeCell ref="B12:E12"/>
    <mergeCell ref="A172:C172"/>
    <mergeCell ref="A173:C173"/>
    <mergeCell ref="A1:E1"/>
    <mergeCell ref="B2:E2"/>
    <mergeCell ref="B3:E3"/>
    <mergeCell ref="A15:E15"/>
    <mergeCell ref="E24:E26"/>
    <mergeCell ref="B4:E4"/>
    <mergeCell ref="A6:E6"/>
    <mergeCell ref="B11:E11"/>
    <mergeCell ref="B7:E7"/>
    <mergeCell ref="B8:E8"/>
    <mergeCell ref="B9:E9"/>
    <mergeCell ref="B10:E10"/>
    <mergeCell ref="A31:E31"/>
  </mergeCells>
  <phoneticPr fontId="8" type="noConversion"/>
  <conditionalFormatting sqref="C147:C150">
    <cfRule type="expression" dxfId="3" priority="3">
      <formula>EXACT($G147,"CORRECTO")</formula>
    </cfRule>
  </conditionalFormatting>
  <conditionalFormatting sqref="C161:C163">
    <cfRule type="expression" dxfId="2" priority="2">
      <formula>$C161&gt;=1.5</formula>
    </cfRule>
  </conditionalFormatting>
  <conditionalFormatting sqref="G147:G150">
    <cfRule type="containsText" dxfId="1" priority="4" operator="containsText" text="CORRECTO">
      <formula>NOT(ISERROR(SEARCH("CORRECTO",G147)))</formula>
    </cfRule>
  </conditionalFormatting>
  <conditionalFormatting sqref="G161:G163">
    <cfRule type="containsText" dxfId="0" priority="1" operator="containsText" text="CORRECTO">
      <formula>NOT(ISERROR(SEARCH("CORRECTO",G161)))</formula>
    </cfRule>
  </conditionalFormatting>
  <pageMargins left="0.7" right="0.7" top="0.75" bottom="0.75" header="0.3" footer="0.3"/>
  <pageSetup paperSize="9" scale="59" fitToHeight="0" orientation="portrait" r:id="rId1"/>
  <headerFooter>
    <oddHeader>&amp;L&amp;"-,Negrita"&amp;14ANEJO DE CÁLCULO&amp;R&amp;"-,Negrita"&amp;14MURO DE CONTENCIÓN</oddHeader>
    <oddFooter>&amp;L&amp;"-,Negrita"&amp;14&amp;D&amp;R&amp;"-,Negrita"&amp;14&amp;P/&amp;N</oddFooter>
  </headerFooter>
  <colBreaks count="1" manualBreakCount="1">
    <brk id="3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540F4F01-011A-4D41-876F-652D3144F51A}">
          <x14:formula1>
            <xm:f>REFERENCIAS!$A$4:$A$8</xm:f>
          </x14:formula1>
          <xm:sqref>C17</xm:sqref>
        </x14:dataValidation>
        <x14:dataValidation type="list" allowBlank="1" showInputMessage="1" showErrorMessage="1" xr:uid="{58A91D53-0145-48D1-A27D-CE85D915E8CF}">
          <x14:formula1>
            <xm:f>REFERENCIAS!$A$13:$A$15</xm:f>
          </x14:formula1>
          <xm:sqref>C18</xm:sqref>
        </x14:dataValidation>
        <x14:dataValidation type="list" allowBlank="1" showInputMessage="1" showErrorMessage="1" xr:uid="{E93BA670-6FAC-4C42-9904-D36D1FB8D351}">
          <x14:formula1>
            <xm:f>REFERENCIAS!$A$20:$A$25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9357-4350-4631-A66E-D55F946C08C6}">
  <sheetPr>
    <tabColor theme="4" tint="0.39997558519241921"/>
  </sheetPr>
  <dimension ref="A1:G352"/>
  <sheetViews>
    <sheetView topLeftCell="A4" workbookViewId="0">
      <selection activeCell="E20" sqref="E20"/>
    </sheetView>
  </sheetViews>
  <sheetFormatPr baseColWidth="10" defaultRowHeight="14.4" x14ac:dyDescent="0.3"/>
  <cols>
    <col min="1" max="26" width="15.77734375" customWidth="1"/>
  </cols>
  <sheetData>
    <row r="1" spans="1:4" s="56" customFormat="1" ht="14.4" customHeight="1" x14ac:dyDescent="0.3">
      <c r="A1" s="86" t="s">
        <v>193</v>
      </c>
      <c r="B1" s="86"/>
      <c r="C1" s="86"/>
      <c r="D1" s="86"/>
    </row>
    <row r="2" spans="1:4" s="56" customFormat="1" ht="28.8" x14ac:dyDescent="0.3">
      <c r="A2" s="57" t="s">
        <v>187</v>
      </c>
      <c r="B2" s="57" t="s">
        <v>203</v>
      </c>
      <c r="C2" s="57" t="s">
        <v>212</v>
      </c>
      <c r="D2" s="57" t="s">
        <v>209</v>
      </c>
    </row>
    <row r="3" spans="1:4" s="56" customFormat="1" x14ac:dyDescent="0.3">
      <c r="A3" s="33" t="str">
        <f>DATOS!C17</f>
        <v>HA-25</v>
      </c>
      <c r="B3" s="33">
        <f>VLOOKUP(A3,A4:D8,2,FALSE)</f>
        <v>254.84199796126398</v>
      </c>
      <c r="C3" s="33">
        <f>VLOOKUP(B3,B4:E8,2,FALSE)</f>
        <v>2200</v>
      </c>
      <c r="D3" s="40">
        <f>VLOOKUP(A3,A4:D8,4,FALSE)</f>
        <v>135</v>
      </c>
    </row>
    <row r="4" spans="1:4" s="56" customFormat="1" x14ac:dyDescent="0.3">
      <c r="A4" s="3" t="s">
        <v>194</v>
      </c>
      <c r="B4" s="58">
        <f>25/9.81*10*10</f>
        <v>254.84199796126398</v>
      </c>
      <c r="C4" s="58">
        <v>2200</v>
      </c>
      <c r="D4" s="61">
        <v>135</v>
      </c>
    </row>
    <row r="5" spans="1:4" s="56" customFormat="1" x14ac:dyDescent="0.3">
      <c r="A5" s="3" t="s">
        <v>195</v>
      </c>
      <c r="B5" s="58">
        <f>30/9.81*10*10</f>
        <v>305.81039755351685</v>
      </c>
      <c r="C5" s="58">
        <v>2300</v>
      </c>
      <c r="D5" s="61">
        <v>140</v>
      </c>
    </row>
    <row r="6" spans="1:4" s="56" customFormat="1" x14ac:dyDescent="0.3">
      <c r="A6" s="3" t="s">
        <v>210</v>
      </c>
      <c r="B6" s="58">
        <f>35/9.81*10*10</f>
        <v>356.7787971457696</v>
      </c>
      <c r="C6" s="58">
        <v>2350</v>
      </c>
      <c r="D6" s="61">
        <v>145</v>
      </c>
    </row>
    <row r="7" spans="1:4" s="56" customFormat="1" x14ac:dyDescent="0.3">
      <c r="A7" s="3" t="s">
        <v>196</v>
      </c>
      <c r="B7" s="58">
        <f>40/9.81*10*10</f>
        <v>407.74719673802235</v>
      </c>
      <c r="C7" s="58">
        <v>2400</v>
      </c>
      <c r="D7" s="61">
        <v>150</v>
      </c>
    </row>
    <row r="8" spans="1:4" s="56" customFormat="1" x14ac:dyDescent="0.3">
      <c r="A8" s="3"/>
      <c r="B8" s="58"/>
      <c r="C8" s="58"/>
      <c r="D8" s="61"/>
    </row>
    <row r="9" spans="1:4" s="56" customFormat="1" x14ac:dyDescent="0.3"/>
    <row r="10" spans="1:4" s="56" customFormat="1" x14ac:dyDescent="0.3">
      <c r="A10" s="85" t="s">
        <v>192</v>
      </c>
      <c r="B10" s="85"/>
      <c r="C10" s="85"/>
    </row>
    <row r="11" spans="1:4" s="56" customFormat="1" ht="28.8" x14ac:dyDescent="0.3">
      <c r="A11" s="4" t="s">
        <v>187</v>
      </c>
      <c r="B11" s="57" t="s">
        <v>212</v>
      </c>
      <c r="C11" s="57" t="s">
        <v>203</v>
      </c>
    </row>
    <row r="12" spans="1:4" s="56" customFormat="1" x14ac:dyDescent="0.3">
      <c r="A12" s="33" t="str">
        <f>DATOS!C18</f>
        <v>B500SD</v>
      </c>
      <c r="B12" s="33">
        <f>VLOOKUP(A12,A13:C15,2,FALSE)</f>
        <v>7850</v>
      </c>
      <c r="C12" s="33">
        <f>VLOOKUP(A12,A13:C15,3,FALSE)</f>
        <v>5096.8399592252799</v>
      </c>
    </row>
    <row r="13" spans="1:4" s="56" customFormat="1" x14ac:dyDescent="0.3">
      <c r="A13" s="3" t="s">
        <v>189</v>
      </c>
      <c r="B13" s="58">
        <v>7850</v>
      </c>
      <c r="C13" s="58">
        <f>400/9.81*10*10</f>
        <v>4077.4719673802238</v>
      </c>
    </row>
    <row r="14" spans="1:4" s="56" customFormat="1" x14ac:dyDescent="0.3">
      <c r="A14" s="3" t="s">
        <v>190</v>
      </c>
      <c r="B14" s="58">
        <v>7850</v>
      </c>
      <c r="C14" s="58">
        <f>500/9.81*10*10</f>
        <v>5096.8399592252799</v>
      </c>
    </row>
    <row r="15" spans="1:4" s="56" customFormat="1" x14ac:dyDescent="0.3">
      <c r="A15" s="3"/>
      <c r="B15" s="58"/>
      <c r="C15" s="58"/>
    </row>
    <row r="16" spans="1:4" s="56" customFormat="1" x14ac:dyDescent="0.3"/>
    <row r="17" spans="1:7" s="56" customFormat="1" x14ac:dyDescent="0.3">
      <c r="A17" s="85" t="s">
        <v>191</v>
      </c>
      <c r="B17" s="85"/>
      <c r="C17" s="85"/>
      <c r="D17" s="85"/>
      <c r="E17" s="85"/>
      <c r="F17" s="85"/>
    </row>
    <row r="18" spans="1:7" s="56" customFormat="1" ht="28.8" x14ac:dyDescent="0.3">
      <c r="A18" s="57" t="s">
        <v>188</v>
      </c>
      <c r="B18" s="57" t="s">
        <v>204</v>
      </c>
      <c r="C18" s="57" t="s">
        <v>205</v>
      </c>
      <c r="D18" s="57" t="s">
        <v>206</v>
      </c>
      <c r="E18" s="57" t="s">
        <v>230</v>
      </c>
      <c r="F18" s="57" t="s">
        <v>208</v>
      </c>
    </row>
    <row r="19" spans="1:7" s="56" customFormat="1" x14ac:dyDescent="0.3">
      <c r="A19" s="33" t="str">
        <f>DATOS!C19</f>
        <v>#20x20/Ø12</v>
      </c>
      <c r="B19" s="44">
        <f>VLOOKUP(A19,A20:F25,2,FALSE)</f>
        <v>12</v>
      </c>
      <c r="C19" s="44">
        <f>VLOOKUP(A19,A20:F25,3,FALSE)</f>
        <v>20</v>
      </c>
      <c r="D19" s="60">
        <f>VLOOKUP(A19,A20:F25,4,FALSE)</f>
        <v>1.1309733552923255E-3</v>
      </c>
      <c r="E19" s="33">
        <f>VLOOKUP(A19,A20:F25,5,FALSE)</f>
        <v>8.0734848484848474</v>
      </c>
      <c r="F19" s="40">
        <f>VLOOKUP(A19,A20:F25,6,FALSE)</f>
        <v>8.67</v>
      </c>
    </row>
    <row r="20" spans="1:7" s="56" customFormat="1" x14ac:dyDescent="0.3">
      <c r="A20" s="3" t="str">
        <f>_xlfn.CONCAT("#",C20,"x",C20,"/","Ø",B20)</f>
        <v>#15x15/Ø8</v>
      </c>
      <c r="B20" s="3">
        <v>8</v>
      </c>
      <c r="C20" s="3">
        <v>15</v>
      </c>
      <c r="D20" s="59">
        <f>2*PI()*((B20/1000)^2)/(4*C20/100)</f>
        <v>6.7020643276582254E-4</v>
      </c>
      <c r="E20" s="58">
        <f>74.04/6/2.2</f>
        <v>5.6090909090909093</v>
      </c>
      <c r="F20" s="61">
        <f>71.71/13.2</f>
        <v>5.4325757575757576</v>
      </c>
    </row>
    <row r="21" spans="1:7" s="56" customFormat="1" x14ac:dyDescent="0.3">
      <c r="A21" s="3" t="str">
        <f>_xlfn.CONCAT("#",C21,"x",C21,"/","Ø",B21)</f>
        <v>#20x20/Ø10</v>
      </c>
      <c r="B21" s="3">
        <v>10</v>
      </c>
      <c r="C21" s="3">
        <v>20</v>
      </c>
      <c r="D21" s="59">
        <f t="shared" ref="D21:D24" si="0">2*PI()*((B21/1000)^2)/(4*C21/100)</f>
        <v>7.8539816339744822E-4</v>
      </c>
      <c r="E21" s="58">
        <f>65.47/6/2.2</f>
        <v>4.959848484848485</v>
      </c>
      <c r="F21" s="61">
        <f>106.85/13.2*15/20</f>
        <v>6.0710227272727266</v>
      </c>
    </row>
    <row r="22" spans="1:7" s="56" customFormat="1" x14ac:dyDescent="0.3">
      <c r="A22" s="3" t="str">
        <f>_xlfn.CONCAT("#",C22,"x",C22,"/","Ø",B22)</f>
        <v>#15x15/Ø10</v>
      </c>
      <c r="B22" s="3">
        <v>10</v>
      </c>
      <c r="C22" s="3">
        <v>15</v>
      </c>
      <c r="D22" s="59">
        <f t="shared" si="0"/>
        <v>1.0471975511965978E-3</v>
      </c>
      <c r="E22" s="58">
        <f>98.73/6/2.2</f>
        <v>7.4795454545454545</v>
      </c>
      <c r="F22" s="61">
        <f>106.85/13.2</f>
        <v>8.0946969696969688</v>
      </c>
    </row>
    <row r="23" spans="1:7" s="56" customFormat="1" x14ac:dyDescent="0.3">
      <c r="A23" s="3" t="str">
        <f t="shared" ref="A23" si="1">_xlfn.CONCAT("#",C23,"x",C23,"/","Ø",B23)</f>
        <v>#20x20/Ø12</v>
      </c>
      <c r="B23" s="3">
        <v>12</v>
      </c>
      <c r="C23" s="3">
        <v>20</v>
      </c>
      <c r="D23" s="59">
        <f t="shared" si="0"/>
        <v>1.1309733552923255E-3</v>
      </c>
      <c r="E23" s="58">
        <f>106.57/6/2.2</f>
        <v>8.0734848484848474</v>
      </c>
      <c r="F23" s="61">
        <v>8.67</v>
      </c>
      <c r="G23" s="68"/>
    </row>
    <row r="24" spans="1:7" s="56" customFormat="1" x14ac:dyDescent="0.3">
      <c r="A24" s="3" t="str">
        <f t="shared" ref="A24" si="2">_xlfn.CONCAT("#",C24,"x",C24,"/","Ø",B24)</f>
        <v>#15x15/Ø12</v>
      </c>
      <c r="B24" s="3">
        <v>12</v>
      </c>
      <c r="C24" s="3">
        <v>15</v>
      </c>
      <c r="D24" s="59">
        <f t="shared" si="0"/>
        <v>1.5079644737231008E-3</v>
      </c>
      <c r="E24" s="58">
        <f>142.1/6/2.2</f>
        <v>10.765151515151514</v>
      </c>
      <c r="F24" s="61">
        <f>152.53/13.2</f>
        <v>11.555303030303032</v>
      </c>
    </row>
    <row r="25" spans="1:7" s="56" customFormat="1" x14ac:dyDescent="0.3">
      <c r="A25" s="3"/>
      <c r="B25" s="3"/>
      <c r="C25" s="3"/>
      <c r="D25" s="59"/>
      <c r="E25" s="3"/>
      <c r="F25" s="61"/>
    </row>
    <row r="26" spans="1:7" s="56" customFormat="1" x14ac:dyDescent="0.3"/>
    <row r="27" spans="1:7" s="56" customFormat="1" x14ac:dyDescent="0.3"/>
    <row r="28" spans="1:7" s="56" customFormat="1" x14ac:dyDescent="0.3"/>
    <row r="29" spans="1:7" s="56" customFormat="1" x14ac:dyDescent="0.3"/>
    <row r="30" spans="1:7" s="56" customFormat="1" x14ac:dyDescent="0.3"/>
    <row r="31" spans="1:7" s="56" customFormat="1" x14ac:dyDescent="0.3"/>
    <row r="32" spans="1:7" s="56" customFormat="1" x14ac:dyDescent="0.3"/>
    <row r="33" s="56" customFormat="1" x14ac:dyDescent="0.3"/>
    <row r="34" s="56" customFormat="1" x14ac:dyDescent="0.3"/>
    <row r="35" s="56" customFormat="1" x14ac:dyDescent="0.3"/>
    <row r="36" s="56" customFormat="1" x14ac:dyDescent="0.3"/>
    <row r="37" s="56" customFormat="1" x14ac:dyDescent="0.3"/>
    <row r="38" s="56" customFormat="1" x14ac:dyDescent="0.3"/>
    <row r="39" s="56" customFormat="1" x14ac:dyDescent="0.3"/>
    <row r="40" s="56" customFormat="1" x14ac:dyDescent="0.3"/>
    <row r="41" s="56" customFormat="1" x14ac:dyDescent="0.3"/>
    <row r="42" s="56" customFormat="1" x14ac:dyDescent="0.3"/>
    <row r="43" s="56" customFormat="1" x14ac:dyDescent="0.3"/>
    <row r="44" s="56" customFormat="1" x14ac:dyDescent="0.3"/>
    <row r="45" s="56" customFormat="1" x14ac:dyDescent="0.3"/>
    <row r="46" s="56" customFormat="1" x14ac:dyDescent="0.3"/>
    <row r="47" s="56" customFormat="1" x14ac:dyDescent="0.3"/>
    <row r="48" s="56" customFormat="1" x14ac:dyDescent="0.3"/>
    <row r="49" s="56" customFormat="1" x14ac:dyDescent="0.3"/>
    <row r="50" s="56" customFormat="1" x14ac:dyDescent="0.3"/>
    <row r="51" s="56" customFormat="1" x14ac:dyDescent="0.3"/>
    <row r="52" s="56" customFormat="1" x14ac:dyDescent="0.3"/>
    <row r="53" s="56" customFormat="1" x14ac:dyDescent="0.3"/>
    <row r="54" s="56" customFormat="1" x14ac:dyDescent="0.3"/>
    <row r="55" s="56" customFormat="1" x14ac:dyDescent="0.3"/>
    <row r="56" s="56" customFormat="1" x14ac:dyDescent="0.3"/>
    <row r="57" s="56" customFormat="1" x14ac:dyDescent="0.3"/>
    <row r="58" s="56" customFormat="1" x14ac:dyDescent="0.3"/>
    <row r="59" s="56" customFormat="1" x14ac:dyDescent="0.3"/>
    <row r="60" s="56" customFormat="1" x14ac:dyDescent="0.3"/>
    <row r="61" s="56" customFormat="1" x14ac:dyDescent="0.3"/>
    <row r="62" s="56" customFormat="1" x14ac:dyDescent="0.3"/>
    <row r="63" s="56" customFormat="1" x14ac:dyDescent="0.3"/>
    <row r="64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  <row r="131" s="56" customFormat="1" x14ac:dyDescent="0.3"/>
    <row r="132" s="56" customFormat="1" x14ac:dyDescent="0.3"/>
    <row r="133" s="56" customFormat="1" x14ac:dyDescent="0.3"/>
    <row r="134" s="56" customFormat="1" x14ac:dyDescent="0.3"/>
    <row r="135" s="56" customFormat="1" x14ac:dyDescent="0.3"/>
    <row r="136" s="56" customFormat="1" x14ac:dyDescent="0.3"/>
    <row r="137" s="56" customFormat="1" x14ac:dyDescent="0.3"/>
    <row r="138" s="56" customFormat="1" x14ac:dyDescent="0.3"/>
    <row r="139" s="56" customFormat="1" x14ac:dyDescent="0.3"/>
    <row r="140" s="56" customFormat="1" x14ac:dyDescent="0.3"/>
    <row r="141" s="56" customFormat="1" x14ac:dyDescent="0.3"/>
    <row r="142" s="56" customFormat="1" x14ac:dyDescent="0.3"/>
    <row r="143" s="56" customFormat="1" x14ac:dyDescent="0.3"/>
    <row r="144" s="56" customFormat="1" x14ac:dyDescent="0.3"/>
    <row r="145" s="56" customFormat="1" x14ac:dyDescent="0.3"/>
    <row r="146" s="56" customFormat="1" x14ac:dyDescent="0.3"/>
    <row r="147" s="56" customFormat="1" x14ac:dyDescent="0.3"/>
    <row r="148" s="56" customFormat="1" x14ac:dyDescent="0.3"/>
    <row r="149" s="56" customFormat="1" x14ac:dyDescent="0.3"/>
    <row r="150" s="56" customFormat="1" x14ac:dyDescent="0.3"/>
    <row r="151" s="56" customFormat="1" x14ac:dyDescent="0.3"/>
    <row r="152" s="56" customFormat="1" x14ac:dyDescent="0.3"/>
    <row r="153" s="56" customFormat="1" x14ac:dyDescent="0.3"/>
    <row r="154" s="56" customFormat="1" x14ac:dyDescent="0.3"/>
    <row r="155" s="56" customFormat="1" x14ac:dyDescent="0.3"/>
    <row r="156" s="56" customFormat="1" x14ac:dyDescent="0.3"/>
    <row r="157" s="56" customFormat="1" x14ac:dyDescent="0.3"/>
    <row r="158" s="56" customFormat="1" x14ac:dyDescent="0.3"/>
    <row r="159" s="56" customFormat="1" x14ac:dyDescent="0.3"/>
    <row r="160" s="56" customFormat="1" x14ac:dyDescent="0.3"/>
    <row r="161" s="56" customFormat="1" x14ac:dyDescent="0.3"/>
    <row r="162" s="56" customFormat="1" x14ac:dyDescent="0.3"/>
    <row r="163" s="56" customFormat="1" x14ac:dyDescent="0.3"/>
    <row r="164" s="56" customFormat="1" x14ac:dyDescent="0.3"/>
    <row r="165" s="56" customFormat="1" x14ac:dyDescent="0.3"/>
    <row r="166" s="56" customFormat="1" x14ac:dyDescent="0.3"/>
    <row r="167" s="56" customFormat="1" x14ac:dyDescent="0.3"/>
    <row r="168" s="56" customFormat="1" x14ac:dyDescent="0.3"/>
    <row r="169" s="56" customFormat="1" x14ac:dyDescent="0.3"/>
    <row r="170" s="56" customFormat="1" x14ac:dyDescent="0.3"/>
    <row r="171" s="56" customFormat="1" x14ac:dyDescent="0.3"/>
    <row r="172" s="56" customFormat="1" x14ac:dyDescent="0.3"/>
    <row r="173" s="56" customFormat="1" x14ac:dyDescent="0.3"/>
    <row r="174" s="56" customFormat="1" x14ac:dyDescent="0.3"/>
    <row r="175" s="56" customFormat="1" x14ac:dyDescent="0.3"/>
    <row r="176" s="56" customFormat="1" x14ac:dyDescent="0.3"/>
    <row r="177" s="56" customFormat="1" x14ac:dyDescent="0.3"/>
    <row r="178" s="56" customFormat="1" x14ac:dyDescent="0.3"/>
    <row r="179" s="56" customFormat="1" x14ac:dyDescent="0.3"/>
    <row r="180" s="56" customFormat="1" x14ac:dyDescent="0.3"/>
    <row r="181" s="56" customFormat="1" x14ac:dyDescent="0.3"/>
    <row r="182" s="56" customFormat="1" x14ac:dyDescent="0.3"/>
    <row r="183" s="56" customFormat="1" x14ac:dyDescent="0.3"/>
    <row r="184" s="56" customFormat="1" x14ac:dyDescent="0.3"/>
    <row r="185" s="56" customFormat="1" x14ac:dyDescent="0.3"/>
    <row r="186" s="56" customFormat="1" x14ac:dyDescent="0.3"/>
    <row r="187" s="56" customFormat="1" x14ac:dyDescent="0.3"/>
    <row r="188" s="56" customFormat="1" x14ac:dyDescent="0.3"/>
    <row r="189" s="56" customFormat="1" x14ac:dyDescent="0.3"/>
    <row r="190" s="56" customFormat="1" x14ac:dyDescent="0.3"/>
    <row r="191" s="56" customFormat="1" x14ac:dyDescent="0.3"/>
    <row r="192" s="56" customFormat="1" x14ac:dyDescent="0.3"/>
    <row r="193" s="56" customFormat="1" x14ac:dyDescent="0.3"/>
    <row r="194" s="56" customFormat="1" x14ac:dyDescent="0.3"/>
    <row r="195" s="56" customFormat="1" x14ac:dyDescent="0.3"/>
    <row r="196" s="56" customFormat="1" x14ac:dyDescent="0.3"/>
    <row r="197" s="56" customFormat="1" x14ac:dyDescent="0.3"/>
    <row r="198" s="56" customFormat="1" x14ac:dyDescent="0.3"/>
    <row r="199" s="56" customFormat="1" x14ac:dyDescent="0.3"/>
    <row r="200" s="56" customFormat="1" x14ac:dyDescent="0.3"/>
    <row r="201" s="56" customFormat="1" x14ac:dyDescent="0.3"/>
    <row r="202" s="56" customFormat="1" x14ac:dyDescent="0.3"/>
    <row r="203" s="56" customFormat="1" x14ac:dyDescent="0.3"/>
    <row r="204" s="56" customFormat="1" x14ac:dyDescent="0.3"/>
    <row r="205" s="56" customFormat="1" x14ac:dyDescent="0.3"/>
    <row r="206" s="56" customFormat="1" x14ac:dyDescent="0.3"/>
    <row r="207" s="56" customFormat="1" x14ac:dyDescent="0.3"/>
    <row r="208" s="56" customFormat="1" x14ac:dyDescent="0.3"/>
    <row r="209" s="56" customFormat="1" x14ac:dyDescent="0.3"/>
    <row r="210" s="56" customFormat="1" x14ac:dyDescent="0.3"/>
    <row r="211" s="56" customFormat="1" x14ac:dyDescent="0.3"/>
    <row r="212" s="56" customFormat="1" x14ac:dyDescent="0.3"/>
    <row r="213" s="56" customFormat="1" x14ac:dyDescent="0.3"/>
    <row r="214" s="56" customFormat="1" x14ac:dyDescent="0.3"/>
    <row r="215" s="56" customFormat="1" x14ac:dyDescent="0.3"/>
    <row r="216" s="56" customFormat="1" x14ac:dyDescent="0.3"/>
    <row r="217" s="56" customFormat="1" x14ac:dyDescent="0.3"/>
    <row r="218" s="56" customFormat="1" x14ac:dyDescent="0.3"/>
    <row r="219" s="56" customFormat="1" x14ac:dyDescent="0.3"/>
    <row r="220" s="56" customFormat="1" x14ac:dyDescent="0.3"/>
    <row r="221" s="56" customFormat="1" x14ac:dyDescent="0.3"/>
    <row r="222" s="56" customFormat="1" x14ac:dyDescent="0.3"/>
    <row r="223" s="56" customFormat="1" x14ac:dyDescent="0.3"/>
    <row r="224" s="56" customFormat="1" x14ac:dyDescent="0.3"/>
    <row r="225" s="56" customFormat="1" x14ac:dyDescent="0.3"/>
    <row r="226" s="56" customFormat="1" x14ac:dyDescent="0.3"/>
    <row r="227" s="56" customFormat="1" x14ac:dyDescent="0.3"/>
    <row r="228" s="56" customFormat="1" x14ac:dyDescent="0.3"/>
    <row r="229" s="56" customFormat="1" x14ac:dyDescent="0.3"/>
    <row r="230" s="56" customFormat="1" x14ac:dyDescent="0.3"/>
    <row r="231" s="56" customFormat="1" x14ac:dyDescent="0.3"/>
    <row r="232" s="56" customFormat="1" x14ac:dyDescent="0.3"/>
    <row r="233" s="56" customFormat="1" x14ac:dyDescent="0.3"/>
    <row r="234" s="56" customFormat="1" x14ac:dyDescent="0.3"/>
    <row r="235" s="56" customFormat="1" x14ac:dyDescent="0.3"/>
    <row r="236" s="56" customFormat="1" x14ac:dyDescent="0.3"/>
    <row r="237" s="56" customFormat="1" x14ac:dyDescent="0.3"/>
    <row r="238" s="56" customFormat="1" x14ac:dyDescent="0.3"/>
    <row r="239" s="56" customFormat="1" x14ac:dyDescent="0.3"/>
    <row r="240" s="56" customFormat="1" x14ac:dyDescent="0.3"/>
    <row r="241" s="56" customFormat="1" x14ac:dyDescent="0.3"/>
    <row r="242" s="56" customFormat="1" x14ac:dyDescent="0.3"/>
    <row r="243" s="56" customFormat="1" x14ac:dyDescent="0.3"/>
    <row r="244" s="56" customFormat="1" x14ac:dyDescent="0.3"/>
    <row r="245" s="56" customFormat="1" x14ac:dyDescent="0.3"/>
    <row r="246" s="56" customFormat="1" x14ac:dyDescent="0.3"/>
    <row r="247" s="56" customFormat="1" x14ac:dyDescent="0.3"/>
    <row r="248" s="56" customFormat="1" x14ac:dyDescent="0.3"/>
    <row r="249" s="56" customFormat="1" x14ac:dyDescent="0.3"/>
    <row r="250" s="56" customFormat="1" x14ac:dyDescent="0.3"/>
    <row r="251" s="56" customFormat="1" x14ac:dyDescent="0.3"/>
    <row r="252" s="56" customFormat="1" x14ac:dyDescent="0.3"/>
    <row r="253" s="56" customFormat="1" x14ac:dyDescent="0.3"/>
    <row r="254" s="56" customFormat="1" x14ac:dyDescent="0.3"/>
    <row r="255" s="56" customFormat="1" x14ac:dyDescent="0.3"/>
    <row r="256" s="56" customFormat="1" x14ac:dyDescent="0.3"/>
    <row r="257" s="56" customFormat="1" x14ac:dyDescent="0.3"/>
    <row r="258" s="56" customFormat="1" x14ac:dyDescent="0.3"/>
    <row r="259" s="56" customFormat="1" x14ac:dyDescent="0.3"/>
    <row r="260" s="56" customFormat="1" x14ac:dyDescent="0.3"/>
    <row r="261" s="56" customFormat="1" x14ac:dyDescent="0.3"/>
    <row r="262" s="56" customFormat="1" x14ac:dyDescent="0.3"/>
    <row r="263" s="56" customFormat="1" x14ac:dyDescent="0.3"/>
    <row r="264" s="56" customFormat="1" x14ac:dyDescent="0.3"/>
    <row r="265" s="56" customFormat="1" x14ac:dyDescent="0.3"/>
    <row r="266" s="56" customFormat="1" x14ac:dyDescent="0.3"/>
    <row r="267" s="56" customFormat="1" x14ac:dyDescent="0.3"/>
    <row r="268" s="56" customFormat="1" x14ac:dyDescent="0.3"/>
    <row r="269" s="56" customFormat="1" x14ac:dyDescent="0.3"/>
    <row r="270" s="56" customFormat="1" x14ac:dyDescent="0.3"/>
    <row r="271" s="56" customFormat="1" x14ac:dyDescent="0.3"/>
    <row r="272" s="56" customFormat="1" x14ac:dyDescent="0.3"/>
    <row r="273" s="56" customFormat="1" x14ac:dyDescent="0.3"/>
    <row r="274" s="56" customFormat="1" x14ac:dyDescent="0.3"/>
    <row r="275" s="56" customFormat="1" x14ac:dyDescent="0.3"/>
    <row r="276" s="56" customFormat="1" x14ac:dyDescent="0.3"/>
    <row r="277" s="56" customFormat="1" x14ac:dyDescent="0.3"/>
    <row r="278" s="56" customFormat="1" x14ac:dyDescent="0.3"/>
    <row r="279" s="56" customFormat="1" x14ac:dyDescent="0.3"/>
    <row r="280" s="56" customFormat="1" x14ac:dyDescent="0.3"/>
    <row r="281" s="56" customFormat="1" x14ac:dyDescent="0.3"/>
    <row r="282" s="56" customFormat="1" x14ac:dyDescent="0.3"/>
    <row r="283" s="56" customFormat="1" x14ac:dyDescent="0.3"/>
    <row r="284" s="56" customFormat="1" x14ac:dyDescent="0.3"/>
    <row r="285" s="56" customFormat="1" x14ac:dyDescent="0.3"/>
    <row r="286" s="56" customFormat="1" x14ac:dyDescent="0.3"/>
    <row r="287" s="56" customFormat="1" x14ac:dyDescent="0.3"/>
    <row r="288" s="56" customFormat="1" x14ac:dyDescent="0.3"/>
    <row r="289" s="56" customFormat="1" x14ac:dyDescent="0.3"/>
    <row r="290" s="56" customFormat="1" x14ac:dyDescent="0.3"/>
    <row r="291" s="56" customFormat="1" x14ac:dyDescent="0.3"/>
    <row r="292" s="56" customFormat="1" x14ac:dyDescent="0.3"/>
    <row r="293" s="56" customFormat="1" x14ac:dyDescent="0.3"/>
    <row r="294" s="56" customFormat="1" x14ac:dyDescent="0.3"/>
    <row r="295" s="56" customFormat="1" x14ac:dyDescent="0.3"/>
    <row r="296" s="56" customFormat="1" x14ac:dyDescent="0.3"/>
    <row r="297" s="56" customFormat="1" x14ac:dyDescent="0.3"/>
    <row r="298" s="56" customFormat="1" x14ac:dyDescent="0.3"/>
    <row r="299" s="56" customFormat="1" x14ac:dyDescent="0.3"/>
    <row r="300" s="56" customFormat="1" x14ac:dyDescent="0.3"/>
    <row r="301" s="56" customFormat="1" x14ac:dyDescent="0.3"/>
    <row r="302" s="56" customFormat="1" x14ac:dyDescent="0.3"/>
    <row r="303" s="56" customFormat="1" x14ac:dyDescent="0.3"/>
    <row r="304" s="56" customFormat="1" x14ac:dyDescent="0.3"/>
    <row r="305" s="56" customFormat="1" x14ac:dyDescent="0.3"/>
    <row r="306" s="56" customFormat="1" x14ac:dyDescent="0.3"/>
    <row r="307" s="56" customFormat="1" x14ac:dyDescent="0.3"/>
    <row r="308" s="56" customFormat="1" x14ac:dyDescent="0.3"/>
    <row r="309" s="56" customFormat="1" x14ac:dyDescent="0.3"/>
    <row r="310" s="56" customFormat="1" x14ac:dyDescent="0.3"/>
    <row r="311" s="56" customFormat="1" x14ac:dyDescent="0.3"/>
    <row r="312" s="56" customFormat="1" x14ac:dyDescent="0.3"/>
    <row r="313" s="56" customFormat="1" x14ac:dyDescent="0.3"/>
    <row r="314" s="56" customFormat="1" x14ac:dyDescent="0.3"/>
    <row r="315" s="56" customFormat="1" x14ac:dyDescent="0.3"/>
    <row r="316" s="56" customFormat="1" x14ac:dyDescent="0.3"/>
    <row r="317" s="56" customFormat="1" x14ac:dyDescent="0.3"/>
    <row r="318" s="56" customFormat="1" x14ac:dyDescent="0.3"/>
    <row r="319" s="56" customFormat="1" x14ac:dyDescent="0.3"/>
    <row r="320" s="56" customFormat="1" x14ac:dyDescent="0.3"/>
    <row r="321" s="56" customFormat="1" x14ac:dyDescent="0.3"/>
    <row r="322" s="56" customFormat="1" x14ac:dyDescent="0.3"/>
    <row r="323" s="56" customFormat="1" x14ac:dyDescent="0.3"/>
    <row r="324" s="56" customFormat="1" x14ac:dyDescent="0.3"/>
    <row r="325" s="56" customFormat="1" x14ac:dyDescent="0.3"/>
    <row r="326" s="56" customFormat="1" x14ac:dyDescent="0.3"/>
    <row r="327" s="56" customFormat="1" x14ac:dyDescent="0.3"/>
    <row r="328" s="56" customFormat="1" x14ac:dyDescent="0.3"/>
    <row r="329" s="56" customFormat="1" x14ac:dyDescent="0.3"/>
    <row r="330" s="56" customFormat="1" x14ac:dyDescent="0.3"/>
    <row r="331" s="56" customFormat="1" x14ac:dyDescent="0.3"/>
    <row r="332" s="56" customFormat="1" x14ac:dyDescent="0.3"/>
    <row r="333" s="56" customFormat="1" x14ac:dyDescent="0.3"/>
    <row r="334" s="56" customFormat="1" x14ac:dyDescent="0.3"/>
    <row r="335" s="56" customFormat="1" x14ac:dyDescent="0.3"/>
    <row r="336" s="56" customFormat="1" x14ac:dyDescent="0.3"/>
    <row r="337" s="56" customFormat="1" x14ac:dyDescent="0.3"/>
    <row r="338" s="56" customFormat="1" x14ac:dyDescent="0.3"/>
    <row r="339" s="56" customFormat="1" x14ac:dyDescent="0.3"/>
    <row r="340" s="56" customFormat="1" x14ac:dyDescent="0.3"/>
    <row r="341" s="56" customFormat="1" x14ac:dyDescent="0.3"/>
    <row r="342" s="56" customFormat="1" x14ac:dyDescent="0.3"/>
    <row r="343" s="56" customFormat="1" x14ac:dyDescent="0.3"/>
    <row r="344" s="56" customFormat="1" x14ac:dyDescent="0.3"/>
    <row r="345" s="56" customFormat="1" x14ac:dyDescent="0.3"/>
    <row r="346" s="56" customFormat="1" x14ac:dyDescent="0.3"/>
    <row r="347" s="56" customFormat="1" x14ac:dyDescent="0.3"/>
    <row r="348" s="56" customFormat="1" x14ac:dyDescent="0.3"/>
    <row r="349" s="56" customFormat="1" x14ac:dyDescent="0.3"/>
    <row r="350" s="56" customFormat="1" x14ac:dyDescent="0.3"/>
    <row r="351" s="56" customFormat="1" x14ac:dyDescent="0.3"/>
    <row r="352" s="56" customFormat="1" x14ac:dyDescent="0.3"/>
  </sheetData>
  <mergeCells count="3">
    <mergeCell ref="A10:C10"/>
    <mergeCell ref="A17:F17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REFERENCIAS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Domínguez Galvá</dc:creator>
  <cp:lastModifiedBy>Andrés Domínguez Galvá</cp:lastModifiedBy>
  <cp:lastPrinted>2026-01-31T12:47:49Z</cp:lastPrinted>
  <dcterms:created xsi:type="dcterms:W3CDTF">2015-06-05T18:19:34Z</dcterms:created>
  <dcterms:modified xsi:type="dcterms:W3CDTF">2026-01-31T12:59:05Z</dcterms:modified>
</cp:coreProperties>
</file>