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ndre\Documents\PÁGINA WEB\2 - Contenidos en proceso\HOJA EXCEL PARA COMPROBAR LA SOLIDEZ ESTRUCTURAL EN INSTALACIONES FOTOVOLTAICAS\"/>
    </mc:Choice>
  </mc:AlternateContent>
  <xr:revisionPtr revIDLastSave="0" documentId="13_ncr:1_{BF637C21-9172-4134-A510-AAB2BEABA2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OS" sheetId="1" r:id="rId1"/>
    <sheet name="REFERENCIAS" sheetId="2" r:id="rId2"/>
  </sheets>
  <definedNames>
    <definedName name="_xlnm.Print_Area" localSheetId="0">DATOS!$A$1:$E$76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2" l="1"/>
  <c r="C77" i="2" s="1"/>
  <c r="B61" i="1"/>
  <c r="B15" i="1"/>
  <c r="B35" i="1"/>
  <c r="B52" i="1"/>
  <c r="B30" i="1"/>
  <c r="B31" i="1" s="1"/>
  <c r="B51" i="1"/>
  <c r="B47" i="1"/>
  <c r="B46" i="1"/>
  <c r="B45" i="1"/>
  <c r="B22" i="1"/>
  <c r="B21" i="1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29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13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B19" i="1"/>
  <c r="B18" i="1"/>
  <c r="E46" i="2" s="1"/>
  <c r="B43" i="1"/>
  <c r="B44" i="1" s="1"/>
  <c r="B77" i="2" l="1"/>
  <c r="B50" i="1" s="1"/>
  <c r="B36" i="1"/>
  <c r="B48" i="1"/>
  <c r="B49" i="1" s="1"/>
  <c r="E47" i="2"/>
  <c r="E15" i="2"/>
  <c r="E31" i="2"/>
  <c r="E48" i="2"/>
  <c r="E30" i="2"/>
  <c r="E16" i="2"/>
  <c r="E32" i="2"/>
  <c r="E49" i="2"/>
  <c r="E14" i="2"/>
  <c r="E17" i="2"/>
  <c r="E33" i="2"/>
  <c r="E50" i="2"/>
  <c r="E18" i="2"/>
  <c r="E34" i="2"/>
  <c r="E51" i="2"/>
  <c r="E19" i="2"/>
  <c r="E35" i="2"/>
  <c r="E52" i="2"/>
  <c r="E36" i="2"/>
  <c r="E53" i="2"/>
  <c r="E21" i="2"/>
  <c r="E37" i="2"/>
  <c r="E54" i="2"/>
  <c r="E22" i="2"/>
  <c r="E38" i="2"/>
  <c r="E55" i="2"/>
  <c r="E20" i="2"/>
  <c r="E23" i="2"/>
  <c r="E39" i="2"/>
  <c r="E56" i="2"/>
  <c r="E24" i="2"/>
  <c r="E40" i="2"/>
  <c r="E57" i="2"/>
  <c r="E25" i="2"/>
  <c r="E41" i="2"/>
  <c r="E58" i="2"/>
  <c r="E26" i="2"/>
  <c r="E42" i="2"/>
  <c r="E59" i="2"/>
  <c r="E27" i="2"/>
  <c r="E43" i="2"/>
  <c r="E60" i="2"/>
  <c r="E45" i="2"/>
  <c r="E28" i="2"/>
  <c r="E44" i="2"/>
  <c r="E13" i="2"/>
  <c r="E29" i="2"/>
  <c r="B55" i="1" l="1"/>
  <c r="B53" i="1"/>
  <c r="B54" i="1"/>
  <c r="B62" i="1" l="1"/>
  <c r="B68" i="1" s="1"/>
  <c r="B69" i="1" s="1"/>
  <c r="B66" i="1" l="1"/>
  <c r="B67" i="1" s="1"/>
</calcChain>
</file>

<file path=xl/sharedStrings.xml><?xml version="1.0" encoding="utf-8"?>
<sst xmlns="http://schemas.openxmlformats.org/spreadsheetml/2006/main" count="289" uniqueCount="220">
  <si>
    <t>ADG, INGENIERO SOLITARIO 6.2025</t>
  </si>
  <si>
    <t>Normativa de aplicación</t>
  </si>
  <si>
    <t>Tipo de cubierta</t>
  </si>
  <si>
    <t>Parámetros</t>
  </si>
  <si>
    <t>Valor</t>
  </si>
  <si>
    <t>Unidad</t>
  </si>
  <si>
    <t>Símbolo</t>
  </si>
  <si>
    <t>Peso unitario de cada panel</t>
  </si>
  <si>
    <t>Peso unitario total sin lastres adicionales</t>
  </si>
  <si>
    <t>[-]</t>
  </si>
  <si>
    <t>[año]</t>
  </si>
  <si>
    <r>
      <t>[kg/m</t>
    </r>
    <r>
      <rPr>
        <sz val="11"/>
        <color theme="1"/>
        <rFont val="Aptos Narrow"/>
        <family val="2"/>
      </rPr>
      <t>²</t>
    </r>
    <r>
      <rPr>
        <sz val="11"/>
        <color theme="1"/>
        <rFont val="Aptos"/>
        <family val="2"/>
      </rPr>
      <t>]</t>
    </r>
  </si>
  <si>
    <t>[u]</t>
  </si>
  <si>
    <t>Descripción y observaciones</t>
  </si>
  <si>
    <t>Q.MAX</t>
  </si>
  <si>
    <t>L</t>
  </si>
  <si>
    <t>A</t>
  </si>
  <si>
    <t>[º]</t>
  </si>
  <si>
    <t>β</t>
  </si>
  <si>
    <t>l</t>
  </si>
  <si>
    <t>[m]</t>
  </si>
  <si>
    <t>w</t>
  </si>
  <si>
    <r>
      <t>[m</t>
    </r>
    <r>
      <rPr>
        <sz val="11"/>
        <color theme="1"/>
        <rFont val="Aptos Narrow"/>
        <family val="2"/>
      </rPr>
      <t>²</t>
    </r>
    <r>
      <rPr>
        <sz val="11"/>
        <color theme="1"/>
        <rFont val="Aptos"/>
        <family val="2"/>
      </rPr>
      <t>]</t>
    </r>
  </si>
  <si>
    <t>[kg]</t>
  </si>
  <si>
    <t>C.FV</t>
  </si>
  <si>
    <t>C.EST</t>
  </si>
  <si>
    <t>C1</t>
  </si>
  <si>
    <t>Carga distribuida total sin lastres adicionales</t>
  </si>
  <si>
    <t>Q1</t>
  </si>
  <si>
    <t>Velocidad básica del viento</t>
  </si>
  <si>
    <t>Factor corrector según la vida útil de la instalación</t>
  </si>
  <si>
    <t>Vb</t>
  </si>
  <si>
    <t>Densidad media del aire</t>
  </si>
  <si>
    <t>δ</t>
  </si>
  <si>
    <t>Qb</t>
  </si>
  <si>
    <t>[kg/m³]</t>
  </si>
  <si>
    <t>[m/s]</t>
  </si>
  <si>
    <t>[kg/m²]</t>
  </si>
  <si>
    <t>Fb</t>
  </si>
  <si>
    <t>Resultado de [½ × δ × (Fb × Vb)²]</t>
  </si>
  <si>
    <t>Presión dinámica del viento sin corregir</t>
  </si>
  <si>
    <t>[N/m²]</t>
  </si>
  <si>
    <t>Se estima de 1.2 [kg/m³] para una presión atmosférica de 1.0 [atm] y una temperatura ambiente de 20.0 [ºC]</t>
  </si>
  <si>
    <t>Resultado anterior expresado en [kg/m²]</t>
  </si>
  <si>
    <t>Coeficiente de exposición</t>
  </si>
  <si>
    <t>Ce</t>
  </si>
  <si>
    <t>Parámetros para el cálculo del coeficiente de exposición</t>
  </si>
  <si>
    <t>Z</t>
  </si>
  <si>
    <t>z</t>
  </si>
  <si>
    <t>k</t>
  </si>
  <si>
    <t>F</t>
  </si>
  <si>
    <t xml:space="preserve">Grado de aspereza del entorno </t>
  </si>
  <si>
    <t>Acorde a la Tabla D.2 del CTE-DB-SE-AE</t>
  </si>
  <si>
    <t>Depende de la normativa aplicable y del tipo de cubierta</t>
  </si>
  <si>
    <t>Tabla a consultar</t>
  </si>
  <si>
    <t>El que se asimile más a la cubierta de la instalación</t>
  </si>
  <si>
    <t>Condiciona la normativa aplicable</t>
  </si>
  <si>
    <t>Coeficiente eólico de succión (hacia arriba)</t>
  </si>
  <si>
    <t>Coeficiente eólico de presión (hacia abajo)</t>
  </si>
  <si>
    <r>
      <t>Cp</t>
    </r>
    <r>
      <rPr>
        <sz val="11"/>
        <color theme="1"/>
        <rFont val="Aptos Narrow"/>
        <family val="2"/>
      </rPr>
      <t>↓</t>
    </r>
  </si>
  <si>
    <t>Cp↑</t>
  </si>
  <si>
    <t>Cβ</t>
  </si>
  <si>
    <t>Q2</t>
  </si>
  <si>
    <t>C2</t>
  </si>
  <si>
    <t>Presión de succión que sufre el panel</t>
  </si>
  <si>
    <t>Lastre mínimo recomendado por panel</t>
  </si>
  <si>
    <t>Carga distribuida por la acción del viento</t>
  </si>
  <si>
    <t>¿Se van a emplear lastres para sujetar las estructuras?</t>
  </si>
  <si>
    <t>C3</t>
  </si>
  <si>
    <t>Q3</t>
  </si>
  <si>
    <t>C.MAX</t>
  </si>
  <si>
    <t>Sobrecarga distribuida de uso máxima permitida</t>
  </si>
  <si>
    <t>Sobrecarga puntual de uso máxima permitida</t>
  </si>
  <si>
    <t>Tipo</t>
  </si>
  <si>
    <t>Norma</t>
  </si>
  <si>
    <t>Normas</t>
  </si>
  <si>
    <t>NBE-AE/88 (RD 1370/1988)</t>
  </si>
  <si>
    <t>CTE (RD 314/2006)</t>
  </si>
  <si>
    <t>M. V. 101-1062 (D95/1963)</t>
  </si>
  <si>
    <t>Año de construcción o de la última reforma integral</t>
  </si>
  <si>
    <t>Tabla</t>
  </si>
  <si>
    <t>Tabla 3.1</t>
  </si>
  <si>
    <r>
      <t>Q.MAX ([kg/m</t>
    </r>
    <r>
      <rPr>
        <sz val="11"/>
        <color theme="1"/>
        <rFont val="Aptos Narrow"/>
        <family val="2"/>
      </rPr>
      <t>²</t>
    </r>
    <r>
      <rPr>
        <sz val="11"/>
        <color theme="1"/>
        <rFont val="Aptos"/>
        <family val="2"/>
      </rPr>
      <t>])</t>
    </r>
  </si>
  <si>
    <t>C.MAX ([kg])</t>
  </si>
  <si>
    <t>Año mínimo</t>
  </si>
  <si>
    <t>Criba</t>
  </si>
  <si>
    <t>-</t>
  </si>
  <si>
    <t>AFIRMACIÓN</t>
  </si>
  <si>
    <t>SI</t>
  </si>
  <si>
    <t>NO</t>
  </si>
  <si>
    <t>Grado de aspereza</t>
  </si>
  <si>
    <t>L ([m])</t>
  </si>
  <si>
    <t>Z ([m])</t>
  </si>
  <si>
    <t>V - Centro urbano</t>
  </si>
  <si>
    <t>IV - Zona urbana o forestal</t>
  </si>
  <si>
    <t>III - Zona rural accidentada</t>
  </si>
  <si>
    <t>II - Terreno rural llano</t>
  </si>
  <si>
    <t>I - Junto a cuerpo de agua</t>
  </si>
  <si>
    <t>Altura media de la cubierta</t>
  </si>
  <si>
    <t>Cp↓</t>
  </si>
  <si>
    <t>Resultado de [k × ln(max(z, Z) / L)]</t>
  </si>
  <si>
    <t>Resultado de [F × (F + 7 × k)]</t>
  </si>
  <si>
    <t>Tabla D.10 del CTE-DB-SE-AE, se considera que las bancadas de paneles son similares a marquesinas</t>
  </si>
  <si>
    <t>Coeficiente por el ángulo del panel respecto la cubierta</t>
  </si>
  <si>
    <t>Resultado de [Ce × Cp↓ × Cβ × Qb / cos(β)]</t>
  </si>
  <si>
    <t>Resultado de [Ce × Cp↓ × Cβ × Qb × A]</t>
  </si>
  <si>
    <t>Resultado de [Ce × Cp↑ × Cβ × Qb]</t>
  </si>
  <si>
    <t>Qs</t>
  </si>
  <si>
    <t>Carga distribuida debido al peso de los lastres</t>
  </si>
  <si>
    <t>n</t>
  </si>
  <si>
    <t>Depende de la zona geográfica (A/B/C) según la Figura D.1 del CTE-DB-SE-AE, toma un valor máximo de 29 [m/s]</t>
  </si>
  <si>
    <t>QT</t>
  </si>
  <si>
    <t>CT</t>
  </si>
  <si>
    <t>Resultado de [Q1 + Q2 + Q3]</t>
  </si>
  <si>
    <t>Resultado de [(C1 + C2 + C3) / n]</t>
  </si>
  <si>
    <t>Carga distribuida transmitida a la cubierta</t>
  </si>
  <si>
    <t>Fr</t>
  </si>
  <si>
    <t>Factor reductor por medida compensatorias</t>
  </si>
  <si>
    <t>Por efecto de, por ejemplo: rompevientos, pretiles, tensores de sujeción o la fijación de los lastres al suelo</t>
  </si>
  <si>
    <t>Resultado de [Fr × C3 / S]</t>
  </si>
  <si>
    <t>Ángulo de la estructura soporte</t>
  </si>
  <si>
    <t>Respecto a la cubierta sobre la que se sitúe</t>
  </si>
  <si>
    <t>Carga puntual más elevada transmitida a la cubierta</t>
  </si>
  <si>
    <t>¿CT &lt; C.MAX?</t>
  </si>
  <si>
    <t>¿QT &lt; Q.MAX?</t>
  </si>
  <si>
    <t>Depende de la normativa aplicable</t>
  </si>
  <si>
    <t>· Viviendas - Caso B1 (Habiltaciones)</t>
  </si>
  <si>
    <t>· Viviendas - Caso B2 (Accesos)</t>
  </si>
  <si>
    <t>· Alojamientos - Caso C1 (Dormitorios)</t>
  </si>
  <si>
    <t>· Alojamientos - Caso C2 (Accesos)</t>
  </si>
  <si>
    <t>· Azoteas - Caso A1 (No transitables)</t>
  </si>
  <si>
    <t>· Azoteas - Caso A2 (Transitables)</t>
  </si>
  <si>
    <t>· Edificios de eventos - Caso F1 (Con asientos)</t>
  </si>
  <si>
    <t>· Edificios de eventos - Caso F2 (Sin asientos)</t>
  </si>
  <si>
    <t>· Calzadas y garajes - Caso G1 (Coches)</t>
  </si>
  <si>
    <t>· Calzadas y garajes - Caso G2 (Camiones)</t>
  </si>
  <si>
    <t>· Edificios docentes - Caso E2 (Accesos)</t>
  </si>
  <si>
    <t>· Edificios docentes - Caso E1 (Locales)</t>
  </si>
  <si>
    <t>· Oficinas y comercios - Caso D1 (Privados)</t>
  </si>
  <si>
    <t>· Oficinas y comercios - Caso D2 (Públicos)</t>
  </si>
  <si>
    <t>· Alojamientos - Caso C3 (Aglomerados)</t>
  </si>
  <si>
    <t>· Oficinas y comercios - Caso D3 (Aglomerados)</t>
  </si>
  <si>
    <t>Depende del año de construcción/reforma del edificio</t>
  </si>
  <si>
    <t>Depende de la solución elegida y material de fabricación</t>
  </si>
  <si>
    <t>Valores obtenidos de las tablas, fórmulas y requisitos de la normativa</t>
  </si>
  <si>
    <t>Resultado incorrecto, debe revisarse el diseño de la instalación</t>
  </si>
  <si>
    <t>Parámetros decididos por el técnico proyectista en base a las características de la obra</t>
  </si>
  <si>
    <t>Resultados de aplicar fórmulas y criterios técnicos</t>
  </si>
  <si>
    <t>Resultado correcto, se asegura la solidez estructural de la cubierta</t>
  </si>
  <si>
    <t>Área de cada panel</t>
  </si>
  <si>
    <t>Longitud de cada panel</t>
  </si>
  <si>
    <t>Ancho de cada panel</t>
  </si>
  <si>
    <t>Consultados de la Tabla D.2 del CTE-DB-SE-AE, dependen del grado de aspereza del entorno</t>
  </si>
  <si>
    <t>Carga puntual por la acción del viento</t>
  </si>
  <si>
    <t>¿Es la carga puntual trasmitida menor a la sobrecarga de uso puntual máxima contemplada en la normativa?</t>
  </si>
  <si>
    <t>Proyecto técnico u obra a la que hace referencia el presente anejo/certificado</t>
  </si>
  <si>
    <t>2. LEYENDA DE COLORES</t>
  </si>
  <si>
    <t>3. CARACTERÍSTICAS DE LA CUBIERTA Y DEL EMPLAZAMIENTO</t>
  </si>
  <si>
    <t>4. CARGAS ESTÁTICAS POR EL PESO DE LOS EQUIPOS</t>
  </si>
  <si>
    <t>5. CARGAS POR LA ACCIÓN DEL VIENTO</t>
  </si>
  <si>
    <t>6. CARGAS POR LOS LASTRES DE LAS ESTRUCTURAS SOPORTE</t>
  </si>
  <si>
    <t>7. COMPROBACIÓN DE LA SOLIDEZ ESTRUCTURAL</t>
  </si>
  <si>
    <t>8. FIRMA DEL TÉCNICO COMPETENTE</t>
  </si>
  <si>
    <t>1. IDENTIFICACIÓN DE LA INSTALACIÓN SOLAR</t>
  </si>
  <si>
    <t>Superficie ocupada por cada panel</t>
  </si>
  <si>
    <t>Resultado de [Fr × (Qs × A)], recomendado que sea como mínimo igual al peso unitario de los equipos (C1)</t>
  </si>
  <si>
    <t>Pesos adicionales por otros usos</t>
  </si>
  <si>
    <t>C.EXT</t>
  </si>
  <si>
    <t>Peso total de otros elementos que provoquen cargas en la zona de la instalación dividido por el nº de paneles</t>
  </si>
  <si>
    <t>No se requieren con estructuras atornilladas a elementos estructurales existentes como pretiles o correas ni cuando se emplean estructuras soporte autolastradas</t>
  </si>
  <si>
    <t>Resultado de [C.FV + C.EST + C.EXT]</t>
  </si>
  <si>
    <t>Resultado de [C1 / S]</t>
  </si>
  <si>
    <t>Colegio: N.A</t>
  </si>
  <si>
    <t>Colegiado Nº: N.A</t>
  </si>
  <si>
    <t>Peso unitario de cada estructura por panel</t>
  </si>
  <si>
    <t>Instalación FV en edificio de la Expo92</t>
  </si>
  <si>
    <t>Número de puntos de apoyo por panel</t>
  </si>
  <si>
    <t>Las estructuras soporte suelen contar con de 1 a 4 puntos de apoyo con la cubierta por panel solar</t>
  </si>
  <si>
    <r>
      <t>Resultado de [sen</t>
    </r>
    <r>
      <rPr>
        <sz val="11"/>
        <color theme="1"/>
        <rFont val="Aptos Narrow"/>
        <family val="2"/>
      </rPr>
      <t>²</t>
    </r>
    <r>
      <rPr>
        <sz val="11"/>
        <color theme="1"/>
        <rFont val="Aptos"/>
        <family val="2"/>
      </rPr>
      <t>(β)], descuenta la disipación por remolinos y las cargas por viento actuales</t>
    </r>
  </si>
  <si>
    <t>Ingeniero Solitario
AUTOCONSUMO &amp; AUTARQUÍA</t>
  </si>
  <si>
    <t>El técnico competente mediante la firma del presente documento declara que la instalación cumple con los límites de sobrecarga de uso marcados por la normativa vigente en el año de construcción o reforma integral de la cubierta y que, por lo tanto, salvo vicios ocultos, se asegura su solidez estructural y así como la de la propia instalación.</t>
  </si>
  <si>
    <t>Dirección completa del emplazamiento e identificación de la zona de montaje</t>
  </si>
  <si>
    <t>- Azoteas - Caso A1 (No transitables)</t>
  </si>
  <si>
    <t>- Azoteas - Caso A2 (Transitables)</t>
  </si>
  <si>
    <t>- Viviendas - Caso B1 (Habitaciones)</t>
  </si>
  <si>
    <t>- Viviendas - Caso B2 (Accesos)</t>
  </si>
  <si>
    <t>- Alojamientos - Caso C1 (Dormitorios)</t>
  </si>
  <si>
    <t>- Alojamientos - Caso C2 (Accesos)</t>
  </si>
  <si>
    <t>- Alojamientos - Caso C3 (Aglomerados)</t>
  </si>
  <si>
    <t>- Oficinas y comercios - Caso D1 (Privados)</t>
  </si>
  <si>
    <t>- Oficinas y comercios - Caso D2 (Públicos)</t>
  </si>
  <si>
    <t>- Oficinas y comercios - Caso D3 (Aglomerados)</t>
  </si>
  <si>
    <t>- Edificios docentes - Caso E1 (Locales)</t>
  </si>
  <si>
    <t>- Edificios docentes - Caso E2 (Accesos)</t>
  </si>
  <si>
    <t>- Edificios de eventos - Caso F1 (Con asientos)</t>
  </si>
  <si>
    <t>- Edificios de eventos - Caso F2 (Sin asientos)</t>
  </si>
  <si>
    <t>- Calzadas y garajes - Caso G1 (Coches)</t>
  </si>
  <si>
    <t>- Calzadas y garajes - Caso G2 (Camiones)</t>
  </si>
  <si>
    <t>&gt; Residencial - Caso A1</t>
  </si>
  <si>
    <t>&gt; Residencial - Caso A2</t>
  </si>
  <si>
    <t>&gt; Zona administrativa - Caso B</t>
  </si>
  <si>
    <t>&gt; Pública concurrencia - Caso C1 (Con mesas)</t>
  </si>
  <si>
    <t>&gt; Pública concurrencia - Caso C2 (Con asientos)</t>
  </si>
  <si>
    <t>&gt; Pública concurrencia - Caso C3 (Diáfanos)</t>
  </si>
  <si>
    <t>&gt; Pública concurrencia - Caso C4 (Gimnasios)</t>
  </si>
  <si>
    <t>&gt; Pública concurrencia - Caso C5 (Aglomerados)</t>
  </si>
  <si>
    <t>&gt; Comercio - Caso D1 (Locales)</t>
  </si>
  <si>
    <t>&gt; Comercio - Caso D2 (Grandes superficies)</t>
  </si>
  <si>
    <t>&gt; Zona de tráfico ligero - Caso E</t>
  </si>
  <si>
    <t>&gt; Cubierta privada transitable - Caso F</t>
  </si>
  <si>
    <t>&gt; Cubierta no accesible - Caso G1.1 (&lt; 20º)</t>
  </si>
  <si>
    <t>&gt; Cubierta no accesible - Caso G1.2 (sin forjado)</t>
  </si>
  <si>
    <t>&gt; Cubierta no accesible - Caso G2 (&gt; 40º)</t>
  </si>
  <si>
    <t>Isla Cartuja, S/N, 41092 Sevilla - Azotea transitable</t>
  </si>
  <si>
    <t>En caso negativo se debe de revisar el diseño realizado para reducir las sobrecargas introducidas en la cubierta</t>
  </si>
  <si>
    <t>Son parámetros que dependen del panel, se consultan en su ficha técnica, se toman los valores estándar del sector si el modelo se desconoce o no está definido (fase inicial)</t>
  </si>
  <si>
    <t>Respecto al suelo de la vía pública o terreno</t>
  </si>
  <si>
    <t>S = A × cos(β)</t>
  </si>
  <si>
    <t>Tabla D.1 del CTE-DB-SE-AE, para instalaciones solares tiene un valor de 1.00 (&gt; 20 años de vida útil de media)</t>
  </si>
  <si>
    <t>¿Es la carga distribuida menor a la sobrecarga de uso distribuida máxima contemplada en la normativa?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</si>
</sst>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0"/>
      <name val="Aptos"/>
      <family val="2"/>
    </font>
    <font>
      <sz val="11"/>
      <color theme="1"/>
      <name val="Aptos Narrow"/>
      <family val="2"/>
    </font>
    <font>
      <b/>
      <sz val="11"/>
      <color theme="1"/>
      <name val="Aptos"/>
      <family val="2"/>
    </font>
    <font>
      <sz val="8"/>
      <name val="Calibri"/>
      <family val="2"/>
      <scheme val="minor"/>
    </font>
    <font>
      <b/>
      <sz val="11"/>
      <color theme="0"/>
      <name val="Aptos"/>
      <family val="2"/>
    </font>
    <font>
      <b/>
      <i/>
      <sz val="16"/>
      <name val="Algerian"/>
      <family val="5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2" fontId="1" fillId="5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4" borderId="2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2" fontId="1" fillId="5" borderId="2" xfId="0" applyNumberFormat="1" applyFont="1" applyFill="1" applyBorder="1" applyAlignment="1">
      <alignment horizontal="center" vertical="center" wrapText="1"/>
    </xf>
    <xf numFmtId="2" fontId="1" fillId="5" borderId="0" xfId="0" applyNumberFormat="1" applyFont="1" applyFill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5" borderId="8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2" fontId="1" fillId="6" borderId="2" xfId="0" applyNumberFormat="1" applyFont="1" applyFill="1" applyBorder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8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justify" vertical="center" wrapText="1"/>
    </xf>
    <xf numFmtId="0" fontId="1" fillId="4" borderId="12" xfId="0" applyFont="1" applyFill="1" applyBorder="1" applyAlignment="1">
      <alignment horizontal="justify" vertical="center" wrapText="1"/>
    </xf>
    <xf numFmtId="0" fontId="1" fillId="4" borderId="15" xfId="0" applyFont="1" applyFill="1" applyBorder="1" applyAlignment="1">
      <alignment horizontal="justify" vertical="center" wrapText="1"/>
    </xf>
    <xf numFmtId="0" fontId="1" fillId="4" borderId="0" xfId="0" applyFont="1" applyFill="1" applyAlignment="1">
      <alignment horizontal="justify" vertical="center" wrapText="1"/>
    </xf>
    <xf numFmtId="0" fontId="1" fillId="4" borderId="16" xfId="0" applyFont="1" applyFill="1" applyBorder="1" applyAlignment="1">
      <alignment horizontal="justify" vertical="center" wrapText="1"/>
    </xf>
    <xf numFmtId="0" fontId="1" fillId="4" borderId="17" xfId="0" applyFont="1" applyFill="1" applyBorder="1" applyAlignment="1">
      <alignment horizontal="justify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196"/>
  <sheetViews>
    <sheetView tabSelected="1" view="pageBreakPreview" topLeftCell="A13" zoomScaleNormal="100" zoomScaleSheetLayoutView="100" zoomScalePageLayoutView="80" workbookViewId="0">
      <selection activeCell="B30" sqref="B30"/>
    </sheetView>
  </sheetViews>
  <sheetFormatPr baseColWidth="10" defaultColWidth="8.88671875" defaultRowHeight="14.4" x14ac:dyDescent="0.3"/>
  <cols>
    <col min="1" max="2" width="50.77734375" customWidth="1"/>
    <col min="3" max="4" width="14.77734375" customWidth="1"/>
    <col min="5" max="5" width="50.77734375" customWidth="1"/>
  </cols>
  <sheetData>
    <row r="1" spans="1:5" s="1" customFormat="1" x14ac:dyDescent="0.3">
      <c r="A1" s="38" t="s">
        <v>163</v>
      </c>
      <c r="B1" s="38"/>
      <c r="C1" s="38"/>
      <c r="D1" s="38"/>
      <c r="E1" s="38"/>
    </row>
    <row r="2" spans="1:5" s="1" customFormat="1" x14ac:dyDescent="0.3">
      <c r="A2" s="39" t="s">
        <v>3</v>
      </c>
      <c r="B2" s="40"/>
      <c r="C2" s="40"/>
      <c r="D2" s="41"/>
      <c r="E2" s="3" t="s">
        <v>13</v>
      </c>
    </row>
    <row r="3" spans="1:5" s="1" customFormat="1" x14ac:dyDescent="0.3">
      <c r="A3" s="42" t="s">
        <v>155</v>
      </c>
      <c r="B3" s="42"/>
      <c r="C3" s="42"/>
      <c r="D3" s="42"/>
      <c r="E3" s="32" t="s">
        <v>175</v>
      </c>
    </row>
    <row r="4" spans="1:5" s="1" customFormat="1" x14ac:dyDescent="0.3">
      <c r="A4" s="42" t="s">
        <v>181</v>
      </c>
      <c r="B4" s="42"/>
      <c r="C4" s="42"/>
      <c r="D4" s="42"/>
      <c r="E4" s="32" t="s">
        <v>213</v>
      </c>
    </row>
    <row r="5" spans="1:5" s="1" customFormat="1" x14ac:dyDescent="0.3"/>
    <row r="6" spans="1:5" s="1" customFormat="1" x14ac:dyDescent="0.3">
      <c r="A6" s="38" t="s">
        <v>156</v>
      </c>
      <c r="B6" s="38"/>
      <c r="C6" s="38"/>
      <c r="D6" s="38"/>
      <c r="E6" s="38"/>
    </row>
    <row r="7" spans="1:5" s="1" customFormat="1" x14ac:dyDescent="0.3">
      <c r="A7" s="64" t="s">
        <v>146</v>
      </c>
      <c r="B7" s="65"/>
      <c r="C7" s="65"/>
      <c r="D7" s="66"/>
      <c r="E7" s="5"/>
    </row>
    <row r="8" spans="1:5" s="1" customFormat="1" x14ac:dyDescent="0.3">
      <c r="A8" s="64" t="s">
        <v>147</v>
      </c>
      <c r="B8" s="65"/>
      <c r="C8" s="65"/>
      <c r="D8" s="66"/>
      <c r="E8" s="28"/>
    </row>
    <row r="9" spans="1:5" s="1" customFormat="1" x14ac:dyDescent="0.3">
      <c r="A9" s="64" t="s">
        <v>144</v>
      </c>
      <c r="B9" s="65"/>
      <c r="C9" s="65"/>
      <c r="D9" s="66"/>
      <c r="E9" s="12"/>
    </row>
    <row r="10" spans="1:5" s="1" customFormat="1" x14ac:dyDescent="0.3">
      <c r="A10" s="64" t="s">
        <v>148</v>
      </c>
      <c r="B10" s="65"/>
      <c r="C10" s="65"/>
      <c r="D10" s="66"/>
      <c r="E10" s="29"/>
    </row>
    <row r="11" spans="1:5" s="1" customFormat="1" x14ac:dyDescent="0.3">
      <c r="A11" s="64" t="s">
        <v>145</v>
      </c>
      <c r="B11" s="65"/>
      <c r="C11" s="65"/>
      <c r="D11" s="66"/>
      <c r="E11" s="30"/>
    </row>
    <row r="12" spans="1:5" s="1" customFormat="1" x14ac:dyDescent="0.3">
      <c r="A12" s="6"/>
      <c r="B12" s="6"/>
      <c r="C12" s="6"/>
      <c r="D12" s="6"/>
      <c r="E12" s="6"/>
    </row>
    <row r="13" spans="1:5" s="1" customFormat="1" x14ac:dyDescent="0.3">
      <c r="A13" s="38" t="s">
        <v>157</v>
      </c>
      <c r="B13" s="38"/>
      <c r="C13" s="38"/>
      <c r="D13" s="38"/>
      <c r="E13" s="38"/>
    </row>
    <row r="14" spans="1:5" s="1" customFormat="1" x14ac:dyDescent="0.3">
      <c r="A14" s="3" t="s">
        <v>3</v>
      </c>
      <c r="B14" s="3" t="s">
        <v>4</v>
      </c>
      <c r="C14" s="3" t="s">
        <v>5</v>
      </c>
      <c r="D14" s="3" t="s">
        <v>6</v>
      </c>
      <c r="E14" s="3" t="s">
        <v>13</v>
      </c>
    </row>
    <row r="15" spans="1:5" s="1" customFormat="1" x14ac:dyDescent="0.3">
      <c r="A15" s="4" t="s">
        <v>98</v>
      </c>
      <c r="B15" s="5">
        <f>6*5</f>
        <v>30</v>
      </c>
      <c r="C15" s="4" t="s">
        <v>20</v>
      </c>
      <c r="D15" s="4" t="s">
        <v>48</v>
      </c>
      <c r="E15" s="4" t="s">
        <v>216</v>
      </c>
    </row>
    <row r="16" spans="1:5" s="1" customFormat="1" x14ac:dyDescent="0.3">
      <c r="A16" s="4" t="s">
        <v>51</v>
      </c>
      <c r="B16" s="5" t="s">
        <v>94</v>
      </c>
      <c r="C16" s="4" t="s">
        <v>9</v>
      </c>
      <c r="D16" s="4" t="s">
        <v>86</v>
      </c>
      <c r="E16" s="4" t="s">
        <v>52</v>
      </c>
    </row>
    <row r="17" spans="1:5" s="1" customFormat="1" x14ac:dyDescent="0.3">
      <c r="A17" s="4" t="s">
        <v>79</v>
      </c>
      <c r="B17" s="5">
        <v>1992</v>
      </c>
      <c r="C17" s="4" t="s">
        <v>10</v>
      </c>
      <c r="D17" s="4" t="s">
        <v>86</v>
      </c>
      <c r="E17" s="4" t="s">
        <v>56</v>
      </c>
    </row>
    <row r="18" spans="1:5" s="1" customFormat="1" x14ac:dyDescent="0.3">
      <c r="A18" s="4" t="s">
        <v>1</v>
      </c>
      <c r="B18" s="12" t="str">
        <f>INDEX(REFERENCIAS!A8:B10,MATCH(B17,REFERENCIAS!A8:A10,1),2)</f>
        <v>NBE-AE/88 (RD 1370/1988)</v>
      </c>
      <c r="C18" s="4" t="s">
        <v>9</v>
      </c>
      <c r="D18" s="4" t="s">
        <v>86</v>
      </c>
      <c r="E18" s="4" t="s">
        <v>142</v>
      </c>
    </row>
    <row r="19" spans="1:5" s="1" customFormat="1" x14ac:dyDescent="0.3">
      <c r="A19" s="4" t="s">
        <v>54</v>
      </c>
      <c r="B19" s="12" t="str">
        <f>INDEX(REFERENCIAS!A8:C10,MATCH(B17,REFERENCIAS!A8:A10,1),3)</f>
        <v>Tabla 3.1</v>
      </c>
      <c r="C19" s="4" t="s">
        <v>9</v>
      </c>
      <c r="D19" s="4" t="s">
        <v>86</v>
      </c>
      <c r="E19" s="4" t="s">
        <v>125</v>
      </c>
    </row>
    <row r="20" spans="1:5" s="1" customFormat="1" ht="15" thickBot="1" x14ac:dyDescent="0.35">
      <c r="A20" s="7" t="s">
        <v>2</v>
      </c>
      <c r="B20" s="33" t="s">
        <v>183</v>
      </c>
      <c r="C20" s="7" t="s">
        <v>9</v>
      </c>
      <c r="D20" s="7" t="s">
        <v>86</v>
      </c>
      <c r="E20" s="7" t="s">
        <v>55</v>
      </c>
    </row>
    <row r="21" spans="1:5" s="1" customFormat="1" x14ac:dyDescent="0.3">
      <c r="A21" s="8" t="s">
        <v>71</v>
      </c>
      <c r="B21" s="34">
        <f>VLOOKUP(B20,REFERENCIAS!B13:D60,2,FALSE)</f>
        <v>150</v>
      </c>
      <c r="C21" s="8" t="s">
        <v>11</v>
      </c>
      <c r="D21" s="8" t="s">
        <v>14</v>
      </c>
      <c r="E21" s="60" t="s">
        <v>53</v>
      </c>
    </row>
    <row r="22" spans="1:5" s="1" customFormat="1" x14ac:dyDescent="0.3">
      <c r="A22" s="4" t="s">
        <v>72</v>
      </c>
      <c r="B22" s="35">
        <f>VLOOKUP(B20,REFERENCIAS!B13:D60,3,FALSE)</f>
        <v>150</v>
      </c>
      <c r="C22" s="4" t="s">
        <v>23</v>
      </c>
      <c r="D22" s="4" t="s">
        <v>70</v>
      </c>
      <c r="E22" s="61"/>
    </row>
    <row r="23" spans="1:5" s="1" customFormat="1" x14ac:dyDescent="0.3">
      <c r="A23" s="6"/>
      <c r="B23" s="6"/>
      <c r="C23" s="6"/>
      <c r="D23" s="6"/>
      <c r="E23" s="6"/>
    </row>
    <row r="24" spans="1:5" s="1" customFormat="1" x14ac:dyDescent="0.3">
      <c r="A24" s="38" t="s">
        <v>158</v>
      </c>
      <c r="B24" s="38"/>
      <c r="C24" s="38"/>
      <c r="D24" s="38"/>
      <c r="E24" s="38"/>
    </row>
    <row r="25" spans="1:5" s="1" customFormat="1" x14ac:dyDescent="0.3">
      <c r="A25" s="3" t="s">
        <v>3</v>
      </c>
      <c r="B25" s="3" t="s">
        <v>4</v>
      </c>
      <c r="C25" s="3" t="s">
        <v>5</v>
      </c>
      <c r="D25" s="3" t="s">
        <v>6</v>
      </c>
      <c r="E25" s="3" t="s">
        <v>13</v>
      </c>
    </row>
    <row r="26" spans="1:5" s="1" customFormat="1" x14ac:dyDescent="0.3">
      <c r="A26" s="4" t="s">
        <v>120</v>
      </c>
      <c r="B26" s="5">
        <v>30</v>
      </c>
      <c r="C26" s="4" t="s">
        <v>17</v>
      </c>
      <c r="D26" s="4" t="s">
        <v>18</v>
      </c>
      <c r="E26" s="4" t="s">
        <v>121</v>
      </c>
    </row>
    <row r="27" spans="1:5" s="1" customFormat="1" ht="28.8" x14ac:dyDescent="0.3">
      <c r="A27" s="4" t="s">
        <v>176</v>
      </c>
      <c r="B27" s="5">
        <v>2</v>
      </c>
      <c r="C27" s="4" t="s">
        <v>12</v>
      </c>
      <c r="D27" s="4" t="s">
        <v>109</v>
      </c>
      <c r="E27" s="4" t="s">
        <v>177</v>
      </c>
    </row>
    <row r="28" spans="1:5" s="1" customFormat="1" ht="14.4" customHeight="1" x14ac:dyDescent="0.3">
      <c r="A28" s="4" t="s">
        <v>150</v>
      </c>
      <c r="B28" s="9">
        <v>2.5</v>
      </c>
      <c r="C28" s="4" t="s">
        <v>20</v>
      </c>
      <c r="D28" s="4" t="s">
        <v>19</v>
      </c>
      <c r="E28" s="62" t="s">
        <v>215</v>
      </c>
    </row>
    <row r="29" spans="1:5" s="1" customFormat="1" x14ac:dyDescent="0.3">
      <c r="A29" s="4" t="s">
        <v>151</v>
      </c>
      <c r="B29" s="9">
        <v>1.1499999999999999</v>
      </c>
      <c r="C29" s="4" t="s">
        <v>20</v>
      </c>
      <c r="D29" s="4" t="s">
        <v>21</v>
      </c>
      <c r="E29" s="60"/>
    </row>
    <row r="30" spans="1:5" s="1" customFormat="1" x14ac:dyDescent="0.3">
      <c r="A30" s="4" t="s">
        <v>149</v>
      </c>
      <c r="B30" s="25">
        <f>B29*B28</f>
        <v>2.875</v>
      </c>
      <c r="C30" s="4" t="s">
        <v>22</v>
      </c>
      <c r="D30" s="4" t="s">
        <v>16</v>
      </c>
      <c r="E30" s="60"/>
    </row>
    <row r="31" spans="1:5" s="1" customFormat="1" x14ac:dyDescent="0.3">
      <c r="A31" s="4" t="s">
        <v>164</v>
      </c>
      <c r="B31" s="16">
        <f>B30*COS(B26*2*PI()/360)</f>
        <v>2.4898230358802613</v>
      </c>
      <c r="C31" s="4" t="s">
        <v>22</v>
      </c>
      <c r="D31" s="4" t="s">
        <v>217</v>
      </c>
      <c r="E31" s="60"/>
    </row>
    <row r="32" spans="1:5" s="1" customFormat="1" x14ac:dyDescent="0.3">
      <c r="A32" s="4" t="s">
        <v>7</v>
      </c>
      <c r="B32" s="9">
        <v>35</v>
      </c>
      <c r="C32" s="4" t="s">
        <v>23</v>
      </c>
      <c r="D32" s="4" t="s">
        <v>24</v>
      </c>
      <c r="E32" s="60"/>
    </row>
    <row r="33" spans="1:5" s="1" customFormat="1" x14ac:dyDescent="0.3">
      <c r="A33" s="4" t="s">
        <v>174</v>
      </c>
      <c r="B33" s="9">
        <v>90</v>
      </c>
      <c r="C33" s="4" t="s">
        <v>23</v>
      </c>
      <c r="D33" s="4" t="s">
        <v>25</v>
      </c>
      <c r="E33" s="4" t="s">
        <v>143</v>
      </c>
    </row>
    <row r="34" spans="1:5" s="1" customFormat="1" ht="29.4" thickBot="1" x14ac:dyDescent="0.35">
      <c r="A34" s="7" t="s">
        <v>166</v>
      </c>
      <c r="B34" s="10">
        <v>0</v>
      </c>
      <c r="C34" s="7" t="s">
        <v>23</v>
      </c>
      <c r="D34" s="7" t="s">
        <v>167</v>
      </c>
      <c r="E34" s="7" t="s">
        <v>168</v>
      </c>
    </row>
    <row r="35" spans="1:5" s="1" customFormat="1" x14ac:dyDescent="0.3">
      <c r="A35" s="8" t="s">
        <v>8</v>
      </c>
      <c r="B35" s="27">
        <f>B32+B33+B34</f>
        <v>125</v>
      </c>
      <c r="C35" s="8" t="s">
        <v>23</v>
      </c>
      <c r="D35" s="8" t="s">
        <v>26</v>
      </c>
      <c r="E35" s="8" t="s">
        <v>170</v>
      </c>
    </row>
    <row r="36" spans="1:5" s="1" customFormat="1" x14ac:dyDescent="0.3">
      <c r="A36" s="4" t="s">
        <v>27</v>
      </c>
      <c r="B36" s="25">
        <f>B35/B31</f>
        <v>50.204371233880494</v>
      </c>
      <c r="C36" s="4" t="s">
        <v>37</v>
      </c>
      <c r="D36" s="4" t="s">
        <v>28</v>
      </c>
      <c r="E36" s="8" t="s">
        <v>171</v>
      </c>
    </row>
    <row r="37" spans="1:5" s="1" customFormat="1" x14ac:dyDescent="0.3">
      <c r="A37" s="6"/>
      <c r="B37" s="6"/>
      <c r="C37" s="6"/>
      <c r="D37" s="6"/>
      <c r="E37" s="6"/>
    </row>
    <row r="38" spans="1:5" s="1" customFormat="1" x14ac:dyDescent="0.3">
      <c r="A38" s="38" t="s">
        <v>159</v>
      </c>
      <c r="B38" s="38"/>
      <c r="C38" s="38"/>
      <c r="D38" s="38"/>
      <c r="E38" s="38"/>
    </row>
    <row r="39" spans="1:5" s="1" customFormat="1" x14ac:dyDescent="0.3">
      <c r="A39" s="3" t="s">
        <v>3</v>
      </c>
      <c r="B39" s="3" t="s">
        <v>4</v>
      </c>
      <c r="C39" s="3" t="s">
        <v>5</v>
      </c>
      <c r="D39" s="3" t="s">
        <v>6</v>
      </c>
      <c r="E39" s="3" t="s">
        <v>13</v>
      </c>
    </row>
    <row r="40" spans="1:5" s="1" customFormat="1" ht="43.2" x14ac:dyDescent="0.3">
      <c r="A40" s="4" t="s">
        <v>29</v>
      </c>
      <c r="B40" s="9">
        <v>26</v>
      </c>
      <c r="C40" s="4" t="s">
        <v>36</v>
      </c>
      <c r="D40" s="4" t="s">
        <v>31</v>
      </c>
      <c r="E40" s="4" t="s">
        <v>110</v>
      </c>
    </row>
    <row r="41" spans="1:5" s="1" customFormat="1" ht="28.8" x14ac:dyDescent="0.3">
      <c r="A41" s="4" t="s">
        <v>32</v>
      </c>
      <c r="B41" s="16">
        <v>1.2</v>
      </c>
      <c r="C41" s="4" t="s">
        <v>35</v>
      </c>
      <c r="D41" s="4" t="s">
        <v>33</v>
      </c>
      <c r="E41" s="4" t="s">
        <v>42</v>
      </c>
    </row>
    <row r="42" spans="1:5" s="1" customFormat="1" ht="28.8" x14ac:dyDescent="0.3">
      <c r="A42" s="4" t="s">
        <v>30</v>
      </c>
      <c r="B42" s="16">
        <v>1</v>
      </c>
      <c r="C42" s="4" t="s">
        <v>9</v>
      </c>
      <c r="D42" s="4" t="s">
        <v>38</v>
      </c>
      <c r="E42" s="4" t="s">
        <v>218</v>
      </c>
    </row>
    <row r="43" spans="1:5" s="1" customFormat="1" x14ac:dyDescent="0.3">
      <c r="A43" s="62" t="s">
        <v>40</v>
      </c>
      <c r="B43" s="16">
        <f>0.5*B41*(B42*B40)^2</f>
        <v>405.59999999999997</v>
      </c>
      <c r="C43" s="4" t="s">
        <v>41</v>
      </c>
      <c r="D43" s="62" t="s">
        <v>34</v>
      </c>
      <c r="E43" s="4" t="s">
        <v>39</v>
      </c>
    </row>
    <row r="44" spans="1:5" s="1" customFormat="1" ht="15" thickBot="1" x14ac:dyDescent="0.35">
      <c r="A44" s="63"/>
      <c r="B44" s="20">
        <f>B43/9.81</f>
        <v>41.345565749235469</v>
      </c>
      <c r="C44" s="7" t="s">
        <v>37</v>
      </c>
      <c r="D44" s="63"/>
      <c r="E44" s="7" t="s">
        <v>43</v>
      </c>
    </row>
    <row r="45" spans="1:5" s="1" customFormat="1" x14ac:dyDescent="0.3">
      <c r="A45" s="59" t="s">
        <v>46</v>
      </c>
      <c r="B45" s="23">
        <f>VLOOKUP(B$16,REFERENCIAS!A$63:D$67,2,FALSE)</f>
        <v>0.22</v>
      </c>
      <c r="C45" s="11" t="s">
        <v>9</v>
      </c>
      <c r="D45" s="11" t="s">
        <v>49</v>
      </c>
      <c r="E45" s="59" t="s">
        <v>152</v>
      </c>
    </row>
    <row r="46" spans="1:5" s="1" customFormat="1" x14ac:dyDescent="0.3">
      <c r="A46" s="60"/>
      <c r="B46" s="24">
        <f>VLOOKUP(B$16,REFERENCIAS!A$63:D$67,3,FALSE)</f>
        <v>0.3</v>
      </c>
      <c r="C46" s="4" t="s">
        <v>20</v>
      </c>
      <c r="D46" s="4" t="s">
        <v>15</v>
      </c>
      <c r="E46" s="60"/>
    </row>
    <row r="47" spans="1:5" s="1" customFormat="1" x14ac:dyDescent="0.3">
      <c r="A47" s="60"/>
      <c r="B47" s="24">
        <f>VLOOKUP(B$16,REFERENCIAS!A$63:D$67,4,FALSE)</f>
        <v>5</v>
      </c>
      <c r="C47" s="4" t="s">
        <v>20</v>
      </c>
      <c r="D47" s="4" t="s">
        <v>47</v>
      </c>
      <c r="E47" s="61"/>
    </row>
    <row r="48" spans="1:5" s="1" customFormat="1" x14ac:dyDescent="0.3">
      <c r="A48" s="61"/>
      <c r="B48" s="24">
        <f>B45*LN(MAX(B47,B15)/B46)</f>
        <v>1.0131374409173801</v>
      </c>
      <c r="C48" s="4" t="s">
        <v>9</v>
      </c>
      <c r="D48" s="4" t="s">
        <v>50</v>
      </c>
      <c r="E48" s="4" t="s">
        <v>100</v>
      </c>
    </row>
    <row r="49" spans="1:5" s="1" customFormat="1" ht="15" thickBot="1" x14ac:dyDescent="0.35">
      <c r="A49" s="7" t="s">
        <v>44</v>
      </c>
      <c r="B49" s="20">
        <f>B48*(B48+7*B45)</f>
        <v>2.5866791332013834</v>
      </c>
      <c r="C49" s="7" t="s">
        <v>9</v>
      </c>
      <c r="D49" s="7" t="s">
        <v>45</v>
      </c>
      <c r="E49" s="7" t="s">
        <v>101</v>
      </c>
    </row>
    <row r="50" spans="1:5" s="1" customFormat="1" x14ac:dyDescent="0.3">
      <c r="A50" s="8" t="s">
        <v>57</v>
      </c>
      <c r="B50" s="16">
        <f>VLOOKUP(B26,REFERENCIAS!A70:C77,2,FALSE)</f>
        <v>3</v>
      </c>
      <c r="C50" s="8" t="s">
        <v>9</v>
      </c>
      <c r="D50" s="8" t="s">
        <v>60</v>
      </c>
      <c r="E50" s="59" t="s">
        <v>102</v>
      </c>
    </row>
    <row r="51" spans="1:5" s="1" customFormat="1" x14ac:dyDescent="0.3">
      <c r="A51" s="4" t="s">
        <v>58</v>
      </c>
      <c r="B51" s="21">
        <f>VLOOKUP(B26,REFERENCIAS!A70:C77,3,FALSE)</f>
        <v>2.2000000000000002</v>
      </c>
      <c r="C51" s="4" t="s">
        <v>9</v>
      </c>
      <c r="D51" s="4" t="s">
        <v>59</v>
      </c>
      <c r="E51" s="61"/>
    </row>
    <row r="52" spans="1:5" s="1" customFormat="1" ht="29.4" thickBot="1" x14ac:dyDescent="0.35">
      <c r="A52" s="7" t="s">
        <v>103</v>
      </c>
      <c r="B52" s="26">
        <f>SIN(B26*2*PI()/360)*SIN(B26*2*PI()/360)</f>
        <v>0.24999999999999994</v>
      </c>
      <c r="C52" s="7" t="s">
        <v>9</v>
      </c>
      <c r="D52" s="7" t="s">
        <v>61</v>
      </c>
      <c r="E52" s="7" t="s">
        <v>178</v>
      </c>
    </row>
    <row r="53" spans="1:5" s="1" customFormat="1" x14ac:dyDescent="0.3">
      <c r="A53" s="8" t="s">
        <v>66</v>
      </c>
      <c r="B53" s="27">
        <f>B51*B49*B44*B52/COS(B26*2*PI()/360)</f>
        <v>67.920919454131138</v>
      </c>
      <c r="C53" s="8" t="s">
        <v>37</v>
      </c>
      <c r="D53" s="8" t="s">
        <v>62</v>
      </c>
      <c r="E53" s="8" t="s">
        <v>104</v>
      </c>
    </row>
    <row r="54" spans="1:5" s="1" customFormat="1" x14ac:dyDescent="0.3">
      <c r="A54" s="4" t="s">
        <v>153</v>
      </c>
      <c r="B54" s="25">
        <f>B51*B49*B44*B52*B30</f>
        <v>169.11106987506349</v>
      </c>
      <c r="C54" s="4" t="s">
        <v>23</v>
      </c>
      <c r="D54" s="4" t="s">
        <v>63</v>
      </c>
      <c r="E54" s="4" t="s">
        <v>105</v>
      </c>
    </row>
    <row r="55" spans="1:5" s="1" customFormat="1" x14ac:dyDescent="0.3">
      <c r="A55" s="4" t="s">
        <v>64</v>
      </c>
      <c r="B55" s="25">
        <f>B50*B49*B44*B52</f>
        <v>80.210784130464887</v>
      </c>
      <c r="C55" s="4" t="s">
        <v>37</v>
      </c>
      <c r="D55" s="4" t="s">
        <v>107</v>
      </c>
      <c r="E55" s="4" t="s">
        <v>106</v>
      </c>
    </row>
    <row r="56" spans="1:5" s="1" customFormat="1" x14ac:dyDescent="0.3">
      <c r="B56" s="6"/>
      <c r="C56" s="6"/>
      <c r="D56" s="6"/>
      <c r="E56" s="6"/>
    </row>
    <row r="57" spans="1:5" s="1" customFormat="1" x14ac:dyDescent="0.3">
      <c r="A57" s="38" t="s">
        <v>160</v>
      </c>
      <c r="B57" s="38"/>
      <c r="C57" s="38"/>
      <c r="D57" s="38"/>
      <c r="E57" s="38"/>
    </row>
    <row r="58" spans="1:5" s="1" customFormat="1" x14ac:dyDescent="0.3">
      <c r="A58" s="3" t="s">
        <v>3</v>
      </c>
      <c r="B58" s="3" t="s">
        <v>4</v>
      </c>
      <c r="C58" s="3" t="s">
        <v>5</v>
      </c>
      <c r="D58" s="3" t="s">
        <v>6</v>
      </c>
      <c r="E58" s="3" t="s">
        <v>13</v>
      </c>
    </row>
    <row r="59" spans="1:5" s="1" customFormat="1" ht="57.6" x14ac:dyDescent="0.3">
      <c r="A59" s="4" t="s">
        <v>67</v>
      </c>
      <c r="B59" s="5" t="s">
        <v>89</v>
      </c>
      <c r="C59" s="4" t="s">
        <v>9</v>
      </c>
      <c r="D59" s="4" t="s">
        <v>86</v>
      </c>
      <c r="E59" s="4" t="s">
        <v>169</v>
      </c>
    </row>
    <row r="60" spans="1:5" s="1" customFormat="1" ht="28.8" x14ac:dyDescent="0.3">
      <c r="A60" s="4" t="s">
        <v>117</v>
      </c>
      <c r="B60" s="9">
        <v>1</v>
      </c>
      <c r="C60" s="4" t="s">
        <v>9</v>
      </c>
      <c r="D60" s="4" t="s">
        <v>116</v>
      </c>
      <c r="E60" s="4" t="s">
        <v>118</v>
      </c>
    </row>
    <row r="61" spans="1:5" s="1" customFormat="1" ht="28.8" x14ac:dyDescent="0.3">
      <c r="A61" s="4" t="s">
        <v>65</v>
      </c>
      <c r="B61" s="25">
        <f>IF(B59="NO",0,MAX(B55*B30*B60,B35))</f>
        <v>0</v>
      </c>
      <c r="C61" s="4" t="s">
        <v>23</v>
      </c>
      <c r="D61" s="4" t="s">
        <v>68</v>
      </c>
      <c r="E61" s="4" t="s">
        <v>165</v>
      </c>
    </row>
    <row r="62" spans="1:5" s="1" customFormat="1" x14ac:dyDescent="0.3">
      <c r="A62" s="4" t="s">
        <v>108</v>
      </c>
      <c r="B62" s="25">
        <f>IF(B59="NO",0,B61/B31)*B60</f>
        <v>0</v>
      </c>
      <c r="C62" s="4" t="s">
        <v>37</v>
      </c>
      <c r="D62" s="4" t="s">
        <v>69</v>
      </c>
      <c r="E62" s="4" t="s">
        <v>119</v>
      </c>
    </row>
    <row r="63" spans="1:5" s="1" customFormat="1" x14ac:dyDescent="0.3">
      <c r="B63" s="6"/>
      <c r="C63" s="6"/>
      <c r="D63" s="6"/>
      <c r="E63" s="6"/>
    </row>
    <row r="64" spans="1:5" s="1" customFormat="1" x14ac:dyDescent="0.3">
      <c r="A64" s="38" t="s">
        <v>161</v>
      </c>
      <c r="B64" s="38"/>
      <c r="C64" s="38"/>
      <c r="D64" s="38"/>
      <c r="E64" s="38"/>
    </row>
    <row r="65" spans="1:5" s="1" customFormat="1" x14ac:dyDescent="0.3">
      <c r="A65" s="3" t="s">
        <v>3</v>
      </c>
      <c r="B65" s="3" t="s">
        <v>4</v>
      </c>
      <c r="C65" s="3" t="s">
        <v>5</v>
      </c>
      <c r="D65" s="3" t="s">
        <v>6</v>
      </c>
      <c r="E65" s="3" t="s">
        <v>13</v>
      </c>
    </row>
    <row r="66" spans="1:5" s="1" customFormat="1" x14ac:dyDescent="0.3">
      <c r="A66" s="4" t="s">
        <v>122</v>
      </c>
      <c r="B66" s="25">
        <f>(B61+B35+B54)/B27</f>
        <v>147.05553493753175</v>
      </c>
      <c r="C66" s="4" t="s">
        <v>23</v>
      </c>
      <c r="D66" s="4" t="s">
        <v>112</v>
      </c>
      <c r="E66" s="4" t="s">
        <v>114</v>
      </c>
    </row>
    <row r="67" spans="1:5" s="1" customFormat="1" ht="28.8" x14ac:dyDescent="0.3">
      <c r="A67" s="4" t="s">
        <v>154</v>
      </c>
      <c r="B67" s="31" t="str">
        <f>IF(B66&gt;B22,"NO","SI")</f>
        <v>SI</v>
      </c>
      <c r="C67" s="4" t="s">
        <v>9</v>
      </c>
      <c r="D67" s="4" t="s">
        <v>123</v>
      </c>
      <c r="E67" s="4" t="s">
        <v>214</v>
      </c>
    </row>
    <row r="68" spans="1:5" s="1" customFormat="1" x14ac:dyDescent="0.3">
      <c r="A68" s="4" t="s">
        <v>115</v>
      </c>
      <c r="B68" s="25">
        <f>B36+B53+B62</f>
        <v>118.12529068801163</v>
      </c>
      <c r="C68" s="4" t="s">
        <v>37</v>
      </c>
      <c r="D68" s="4" t="s">
        <v>111</v>
      </c>
      <c r="E68" s="4" t="s">
        <v>113</v>
      </c>
    </row>
    <row r="69" spans="1:5" s="1" customFormat="1" ht="28.8" x14ac:dyDescent="0.3">
      <c r="A69" s="4" t="s">
        <v>219</v>
      </c>
      <c r="B69" s="31" t="str">
        <f>IF(B68&gt;B21,"NO","SI")</f>
        <v>SI</v>
      </c>
      <c r="C69" s="4" t="s">
        <v>9</v>
      </c>
      <c r="D69" s="4" t="s">
        <v>124</v>
      </c>
      <c r="E69" s="4" t="s">
        <v>214</v>
      </c>
    </row>
    <row r="70" spans="1:5" s="1" customFormat="1" x14ac:dyDescent="0.3">
      <c r="A70" s="6"/>
      <c r="B70" s="6"/>
      <c r="C70" s="6"/>
      <c r="D70" s="6"/>
      <c r="E70" s="6"/>
    </row>
    <row r="71" spans="1:5" s="1" customFormat="1" x14ac:dyDescent="0.3">
      <c r="A71" s="56" t="s">
        <v>162</v>
      </c>
      <c r="B71" s="57"/>
      <c r="C71" s="57"/>
      <c r="D71" s="57"/>
      <c r="E71" s="58"/>
    </row>
    <row r="72" spans="1:5" s="1" customFormat="1" ht="14.4" customHeight="1" x14ac:dyDescent="0.3">
      <c r="A72" s="46" t="s">
        <v>180</v>
      </c>
      <c r="B72" s="47"/>
      <c r="C72" s="52" t="s">
        <v>172</v>
      </c>
      <c r="D72" s="53"/>
      <c r="E72" s="43" t="s">
        <v>179</v>
      </c>
    </row>
    <row r="73" spans="1:5" s="1" customFormat="1" x14ac:dyDescent="0.3">
      <c r="A73" s="48"/>
      <c r="B73" s="49"/>
      <c r="C73" s="54"/>
      <c r="D73" s="55"/>
      <c r="E73" s="44"/>
    </row>
    <row r="74" spans="1:5" s="1" customFormat="1" x14ac:dyDescent="0.3">
      <c r="A74" s="48"/>
      <c r="B74" s="49"/>
      <c r="C74" s="52" t="s">
        <v>173</v>
      </c>
      <c r="D74" s="53"/>
      <c r="E74" s="44"/>
    </row>
    <row r="75" spans="1:5" s="1" customFormat="1" x14ac:dyDescent="0.3">
      <c r="A75" s="50"/>
      <c r="B75" s="51"/>
      <c r="C75" s="54"/>
      <c r="D75" s="55"/>
      <c r="E75" s="45"/>
    </row>
    <row r="76" spans="1:5" s="1" customFormat="1" x14ac:dyDescent="0.3"/>
    <row r="77" spans="1:5" s="1" customFormat="1" x14ac:dyDescent="0.3"/>
    <row r="78" spans="1:5" s="1" customFormat="1" x14ac:dyDescent="0.3"/>
    <row r="79" spans="1:5" s="1" customFormat="1" x14ac:dyDescent="0.3"/>
    <row r="80" spans="1:5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pans="1:1" s="1" customFormat="1" x14ac:dyDescent="0.3"/>
    <row r="162" spans="1:1" s="1" customFormat="1" x14ac:dyDescent="0.3"/>
    <row r="163" spans="1:1" s="1" customFormat="1" x14ac:dyDescent="0.3"/>
    <row r="164" spans="1:1" s="1" customFormat="1" x14ac:dyDescent="0.3"/>
    <row r="165" spans="1:1" s="1" customFormat="1" x14ac:dyDescent="0.3"/>
    <row r="166" spans="1:1" s="1" customFormat="1" x14ac:dyDescent="0.3"/>
    <row r="167" spans="1:1" s="1" customFormat="1" x14ac:dyDescent="0.3"/>
    <row r="168" spans="1:1" s="1" customFormat="1" x14ac:dyDescent="0.3">
      <c r="A168" s="2" t="s">
        <v>0</v>
      </c>
    </row>
    <row r="169" spans="1:1" s="1" customFormat="1" x14ac:dyDescent="0.3"/>
    <row r="170" spans="1:1" s="1" customFormat="1" x14ac:dyDescent="0.3"/>
    <row r="171" spans="1:1" s="1" customFormat="1" x14ac:dyDescent="0.3"/>
    <row r="172" spans="1:1" s="1" customFormat="1" x14ac:dyDescent="0.3"/>
    <row r="173" spans="1:1" s="1" customFormat="1" x14ac:dyDescent="0.3"/>
    <row r="174" spans="1:1" s="1" customFormat="1" x14ac:dyDescent="0.3"/>
    <row r="175" spans="1:1" s="1" customFormat="1" x14ac:dyDescent="0.3"/>
    <row r="176" spans="1:1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pans="1:1" s="1" customFormat="1" x14ac:dyDescent="0.3"/>
    <row r="194" spans="1:1" s="1" customFormat="1" x14ac:dyDescent="0.3"/>
    <row r="195" spans="1:1" s="1" customFormat="1" x14ac:dyDescent="0.3"/>
    <row r="196" spans="1:1" s="1" customFormat="1" x14ac:dyDescent="0.3">
      <c r="A196" s="2"/>
    </row>
  </sheetData>
  <mergeCells count="27">
    <mergeCell ref="A6:E6"/>
    <mergeCell ref="A7:D7"/>
    <mergeCell ref="A8:D8"/>
    <mergeCell ref="A9:D9"/>
    <mergeCell ref="A11:D11"/>
    <mergeCell ref="A10:D10"/>
    <mergeCell ref="D43:D44"/>
    <mergeCell ref="E21:E22"/>
    <mergeCell ref="E45:E47"/>
    <mergeCell ref="E50:E51"/>
    <mergeCell ref="E28:E32"/>
    <mergeCell ref="A1:E1"/>
    <mergeCell ref="A2:D2"/>
    <mergeCell ref="A3:D3"/>
    <mergeCell ref="A4:D4"/>
    <mergeCell ref="E72:E75"/>
    <mergeCell ref="A72:B75"/>
    <mergeCell ref="C72:D73"/>
    <mergeCell ref="C74:D75"/>
    <mergeCell ref="A71:E71"/>
    <mergeCell ref="A45:A48"/>
    <mergeCell ref="A57:E57"/>
    <mergeCell ref="A64:E64"/>
    <mergeCell ref="A13:E13"/>
    <mergeCell ref="A24:E24"/>
    <mergeCell ref="A38:E38"/>
    <mergeCell ref="A43:A44"/>
  </mergeCells>
  <conditionalFormatting sqref="B67">
    <cfRule type="expression" dxfId="1" priority="1">
      <formula>$B$67="SI"</formula>
    </cfRule>
  </conditionalFormatting>
  <conditionalFormatting sqref="B69">
    <cfRule type="expression" dxfId="0" priority="2">
      <formula>$B$69="SI"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Header>&amp;L&amp;"Aptos,Negrita"&amp;16ANEJO DE CÁLCULOS&amp;R&amp;"Aptos,Negrita"&amp;16SOLIDEZ ESTRUCTURAL</oddHeader>
    <oddFooter>&amp;L&amp;"Aptos,Negrita"&amp;16&amp;D&amp;R&amp;"Aptos,Negrita"&amp;16&amp;P/&amp;N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xr:uid="{940A7935-085C-46B5-95BC-9686AC0ECCF6}">
          <x14:formula1>
            <xm:f>REFERENCIAS!$A$2:$A$5</xm:f>
          </x14:formula1>
          <xm:sqref>B40</xm:sqref>
        </x14:dataValidation>
        <x14:dataValidation type="list" allowBlank="1" showInputMessage="1" showErrorMessage="1" xr:uid="{0C58490D-1127-40F6-AF34-A9B37B3977C3}">
          <x14:formula1>
            <xm:f>REFERENCIAS!$E$13:$E$60</xm:f>
          </x14:formula1>
          <xm:sqref>B20</xm:sqref>
        </x14:dataValidation>
        <x14:dataValidation type="list" allowBlank="1" showInputMessage="1" showErrorMessage="1" xr:uid="{EFD1E5A9-4241-4B9A-A499-1416B9FE3079}">
          <x14:formula1>
            <xm:f>REFERENCIAS!$B$2:$B$4</xm:f>
          </x14:formula1>
          <xm:sqref>B59</xm:sqref>
        </x14:dataValidation>
        <x14:dataValidation type="list" allowBlank="1" showInputMessage="1" showErrorMessage="1" xr:uid="{634EC781-A7BC-4C20-8A77-AE468E325DC7}">
          <x14:formula1>
            <xm:f>REFERENCIAS!$A$63:$A$67</xm:f>
          </x14:formula1>
          <xm:sqref>B16</xm:sqref>
        </x14:dataValidation>
        <x14:dataValidation type="list" allowBlank="1" showInputMessage="1" xr:uid="{159CE1E8-6850-4155-BDF9-8770B051E512}">
          <x14:formula1>
            <xm:f>REFERENCIAS!$A$70:$A$77</xm:f>
          </x14:formula1>
          <xm:sqref>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F25AF-C00B-4392-9605-2541227BFC01}">
  <sheetPr>
    <tabColor theme="4" tint="0.39997558519241921"/>
  </sheetPr>
  <dimension ref="A1:E168"/>
  <sheetViews>
    <sheetView topLeftCell="A135" workbookViewId="0">
      <selection activeCell="A153" sqref="A153"/>
    </sheetView>
  </sheetViews>
  <sheetFormatPr baseColWidth="10" defaultRowHeight="14.4" x14ac:dyDescent="0.3"/>
  <cols>
    <col min="1" max="1" width="30.77734375" customWidth="1"/>
    <col min="2" max="2" width="45.77734375" customWidth="1"/>
    <col min="3" max="4" width="15.77734375" customWidth="1"/>
  </cols>
  <sheetData>
    <row r="1" spans="1:5" s="6" customFormat="1" x14ac:dyDescent="0.3">
      <c r="A1" s="3" t="s">
        <v>31</v>
      </c>
      <c r="B1" s="3" t="s">
        <v>87</v>
      </c>
    </row>
    <row r="2" spans="1:5" s="6" customFormat="1" x14ac:dyDescent="0.3">
      <c r="A2" s="4">
        <v>26</v>
      </c>
      <c r="B2" s="4" t="s">
        <v>88</v>
      </c>
    </row>
    <row r="3" spans="1:5" s="6" customFormat="1" x14ac:dyDescent="0.3">
      <c r="A3" s="4">
        <v>27</v>
      </c>
      <c r="B3" s="4" t="s">
        <v>89</v>
      </c>
    </row>
    <row r="4" spans="1:5" s="6" customFormat="1" x14ac:dyDescent="0.3">
      <c r="A4" s="4">
        <v>29</v>
      </c>
      <c r="B4" s="4"/>
    </row>
    <row r="5" spans="1:5" s="6" customFormat="1" x14ac:dyDescent="0.3">
      <c r="A5" s="4"/>
    </row>
    <row r="6" spans="1:5" s="6" customFormat="1" x14ac:dyDescent="0.3"/>
    <row r="7" spans="1:5" s="6" customFormat="1" x14ac:dyDescent="0.3">
      <c r="A7" s="3" t="s">
        <v>84</v>
      </c>
      <c r="B7" s="3" t="s">
        <v>75</v>
      </c>
      <c r="C7" s="3" t="s">
        <v>80</v>
      </c>
    </row>
    <row r="8" spans="1:5" s="6" customFormat="1" x14ac:dyDescent="0.3">
      <c r="A8" s="4">
        <v>0</v>
      </c>
      <c r="B8" s="4" t="s">
        <v>78</v>
      </c>
      <c r="C8" s="4" t="s">
        <v>81</v>
      </c>
    </row>
    <row r="9" spans="1:5" s="6" customFormat="1" x14ac:dyDescent="0.3">
      <c r="A9" s="4">
        <v>1988</v>
      </c>
      <c r="B9" s="4" t="s">
        <v>76</v>
      </c>
      <c r="C9" s="4" t="s">
        <v>81</v>
      </c>
    </row>
    <row r="10" spans="1:5" s="6" customFormat="1" x14ac:dyDescent="0.3">
      <c r="A10" s="4">
        <v>2006</v>
      </c>
      <c r="B10" s="4" t="s">
        <v>77</v>
      </c>
      <c r="C10" s="4" t="s">
        <v>81</v>
      </c>
    </row>
    <row r="11" spans="1:5" s="6" customFormat="1" x14ac:dyDescent="0.3"/>
    <row r="12" spans="1:5" s="6" customFormat="1" ht="14.4" customHeight="1" x14ac:dyDescent="0.3">
      <c r="A12" s="3" t="s">
        <v>74</v>
      </c>
      <c r="B12" s="3" t="s">
        <v>73</v>
      </c>
      <c r="C12" s="3" t="s">
        <v>82</v>
      </c>
      <c r="D12" s="3" t="s">
        <v>83</v>
      </c>
      <c r="E12" s="3" t="s">
        <v>85</v>
      </c>
    </row>
    <row r="13" spans="1:5" s="6" customFormat="1" x14ac:dyDescent="0.3">
      <c r="A13" s="4" t="str">
        <f>B$8</f>
        <v>M. V. 101-1062 (D95/1963)</v>
      </c>
      <c r="B13" s="4" t="s">
        <v>130</v>
      </c>
      <c r="C13" s="17">
        <v>100</v>
      </c>
      <c r="D13" s="17">
        <f>C13</f>
        <v>100</v>
      </c>
      <c r="E13" s="13" t="str">
        <f>IF(A13=DATOS!B$18,B13,"")</f>
        <v/>
      </c>
    </row>
    <row r="14" spans="1:5" s="6" customFormat="1" x14ac:dyDescent="0.3">
      <c r="A14" s="4" t="str">
        <f t="shared" ref="A14:A28" si="0">B$8</f>
        <v>M. V. 101-1062 (D95/1963)</v>
      </c>
      <c r="B14" s="4" t="s">
        <v>131</v>
      </c>
      <c r="C14" s="17">
        <v>150</v>
      </c>
      <c r="D14" s="17">
        <f t="shared" ref="D14:D44" si="1">C14</f>
        <v>150</v>
      </c>
      <c r="E14" s="13" t="str">
        <f>IF(A14=DATOS!B$18,B14,"")</f>
        <v/>
      </c>
    </row>
    <row r="15" spans="1:5" s="6" customFormat="1" x14ac:dyDescent="0.3">
      <c r="A15" s="4" t="str">
        <f t="shared" si="0"/>
        <v>M. V. 101-1062 (D95/1963)</v>
      </c>
      <c r="B15" s="4" t="s">
        <v>126</v>
      </c>
      <c r="C15" s="17">
        <v>200</v>
      </c>
      <c r="D15" s="17">
        <f t="shared" si="1"/>
        <v>200</v>
      </c>
      <c r="E15" s="13" t="str">
        <f>IF(A15=DATOS!B$18,B15,"")</f>
        <v/>
      </c>
    </row>
    <row r="16" spans="1:5" s="6" customFormat="1" x14ac:dyDescent="0.3">
      <c r="A16" s="4" t="str">
        <f t="shared" si="0"/>
        <v>M. V. 101-1062 (D95/1963)</v>
      </c>
      <c r="B16" s="4" t="s">
        <v>127</v>
      </c>
      <c r="C16" s="17">
        <v>300</v>
      </c>
      <c r="D16" s="17">
        <f t="shared" si="1"/>
        <v>300</v>
      </c>
      <c r="E16" s="13" t="str">
        <f>IF(A16=DATOS!B$18,B16,"")</f>
        <v/>
      </c>
    </row>
    <row r="17" spans="1:5" s="6" customFormat="1" x14ac:dyDescent="0.3">
      <c r="A17" s="4" t="str">
        <f t="shared" si="0"/>
        <v>M. V. 101-1062 (D95/1963)</v>
      </c>
      <c r="B17" s="4" t="s">
        <v>128</v>
      </c>
      <c r="C17" s="17">
        <v>200</v>
      </c>
      <c r="D17" s="17">
        <f t="shared" si="1"/>
        <v>200</v>
      </c>
      <c r="E17" s="13" t="str">
        <f>IF(A17=DATOS!B$18,B17,"")</f>
        <v/>
      </c>
    </row>
    <row r="18" spans="1:5" s="6" customFormat="1" x14ac:dyDescent="0.3">
      <c r="A18" s="4" t="str">
        <f t="shared" si="0"/>
        <v>M. V. 101-1062 (D95/1963)</v>
      </c>
      <c r="B18" s="4" t="s">
        <v>129</v>
      </c>
      <c r="C18" s="17">
        <v>300</v>
      </c>
      <c r="D18" s="17">
        <f t="shared" si="1"/>
        <v>300</v>
      </c>
      <c r="E18" s="13" t="str">
        <f>IF(A18=DATOS!B$18,B18,"")</f>
        <v/>
      </c>
    </row>
    <row r="19" spans="1:5" s="6" customFormat="1" x14ac:dyDescent="0.3">
      <c r="A19" s="4" t="str">
        <f t="shared" si="0"/>
        <v>M. V. 101-1062 (D95/1963)</v>
      </c>
      <c r="B19" s="4" t="s">
        <v>140</v>
      </c>
      <c r="C19" s="17">
        <v>500</v>
      </c>
      <c r="D19" s="17">
        <f t="shared" si="1"/>
        <v>500</v>
      </c>
      <c r="E19" s="13" t="str">
        <f>IF(A19=DATOS!B$18,B19,"")</f>
        <v/>
      </c>
    </row>
    <row r="20" spans="1:5" s="6" customFormat="1" x14ac:dyDescent="0.3">
      <c r="A20" s="4" t="str">
        <f t="shared" si="0"/>
        <v>M. V. 101-1062 (D95/1963)</v>
      </c>
      <c r="B20" s="4" t="s">
        <v>138</v>
      </c>
      <c r="C20" s="17">
        <v>200</v>
      </c>
      <c r="D20" s="17">
        <f t="shared" si="1"/>
        <v>200</v>
      </c>
      <c r="E20" s="13" t="str">
        <f>IF(A20=DATOS!B$18,B20,"")</f>
        <v/>
      </c>
    </row>
    <row r="21" spans="1:5" s="6" customFormat="1" x14ac:dyDescent="0.3">
      <c r="A21" s="4" t="str">
        <f t="shared" si="0"/>
        <v>M. V. 101-1062 (D95/1963)</v>
      </c>
      <c r="B21" s="4" t="s">
        <v>139</v>
      </c>
      <c r="C21" s="17">
        <v>300</v>
      </c>
      <c r="D21" s="17">
        <f t="shared" si="1"/>
        <v>300</v>
      </c>
      <c r="E21" s="13" t="str">
        <f>IF(A21=DATOS!B$18,B21,"")</f>
        <v/>
      </c>
    </row>
    <row r="22" spans="1:5" s="6" customFormat="1" x14ac:dyDescent="0.3">
      <c r="A22" s="4" t="str">
        <f t="shared" si="0"/>
        <v>M. V. 101-1062 (D95/1963)</v>
      </c>
      <c r="B22" s="4" t="s">
        <v>141</v>
      </c>
      <c r="C22" s="17">
        <v>400</v>
      </c>
      <c r="D22" s="17">
        <f t="shared" si="1"/>
        <v>400</v>
      </c>
      <c r="E22" s="13" t="str">
        <f>IF(A22=DATOS!B$18,B22,"")</f>
        <v/>
      </c>
    </row>
    <row r="23" spans="1:5" s="6" customFormat="1" x14ac:dyDescent="0.3">
      <c r="A23" s="4" t="str">
        <f t="shared" si="0"/>
        <v>M. V. 101-1062 (D95/1963)</v>
      </c>
      <c r="B23" s="4" t="s">
        <v>137</v>
      </c>
      <c r="C23" s="17">
        <v>300</v>
      </c>
      <c r="D23" s="17">
        <f t="shared" si="1"/>
        <v>300</v>
      </c>
      <c r="E23" s="13" t="str">
        <f>IF(A23=DATOS!B$18,B23,"")</f>
        <v/>
      </c>
    </row>
    <row r="24" spans="1:5" s="6" customFormat="1" x14ac:dyDescent="0.3">
      <c r="A24" s="4" t="str">
        <f t="shared" si="0"/>
        <v>M. V. 101-1062 (D95/1963)</v>
      </c>
      <c r="B24" s="4" t="s">
        <v>136</v>
      </c>
      <c r="C24" s="17">
        <v>400</v>
      </c>
      <c r="D24" s="17">
        <f t="shared" si="1"/>
        <v>400</v>
      </c>
      <c r="E24" s="13" t="str">
        <f>IF(A24=DATOS!B$18,B24,"")</f>
        <v/>
      </c>
    </row>
    <row r="25" spans="1:5" s="6" customFormat="1" x14ac:dyDescent="0.3">
      <c r="A25" s="4" t="str">
        <f t="shared" si="0"/>
        <v>M. V. 101-1062 (D95/1963)</v>
      </c>
      <c r="B25" s="4" t="s">
        <v>132</v>
      </c>
      <c r="C25" s="17">
        <v>300</v>
      </c>
      <c r="D25" s="17">
        <f t="shared" si="1"/>
        <v>300</v>
      </c>
      <c r="E25" s="13" t="str">
        <f>IF(A25=DATOS!B$18,B25,"")</f>
        <v/>
      </c>
    </row>
    <row r="26" spans="1:5" s="6" customFormat="1" x14ac:dyDescent="0.3">
      <c r="A26" s="4" t="str">
        <f t="shared" si="0"/>
        <v>M. V. 101-1062 (D95/1963)</v>
      </c>
      <c r="B26" s="4" t="s">
        <v>133</v>
      </c>
      <c r="C26" s="17">
        <v>500</v>
      </c>
      <c r="D26" s="17">
        <f t="shared" si="1"/>
        <v>500</v>
      </c>
      <c r="E26" s="13" t="str">
        <f>IF(A26=DATOS!B$18,B26,"")</f>
        <v/>
      </c>
    </row>
    <row r="27" spans="1:5" s="6" customFormat="1" x14ac:dyDescent="0.3">
      <c r="A27" s="4" t="str">
        <f t="shared" si="0"/>
        <v>M. V. 101-1062 (D95/1963)</v>
      </c>
      <c r="B27" s="4" t="s">
        <v>134</v>
      </c>
      <c r="C27" s="17">
        <v>400</v>
      </c>
      <c r="D27" s="17">
        <f t="shared" si="1"/>
        <v>400</v>
      </c>
      <c r="E27" s="13" t="str">
        <f>IF(A27=DATOS!B$18,B27,"")</f>
        <v/>
      </c>
    </row>
    <row r="28" spans="1:5" s="6" customFormat="1" ht="15" thickBot="1" x14ac:dyDescent="0.35">
      <c r="A28" s="7" t="str">
        <f t="shared" si="0"/>
        <v>M. V. 101-1062 (D95/1963)</v>
      </c>
      <c r="B28" s="7" t="s">
        <v>135</v>
      </c>
      <c r="C28" s="18">
        <v>1000</v>
      </c>
      <c r="D28" s="18">
        <f t="shared" si="1"/>
        <v>1000</v>
      </c>
      <c r="E28" s="14" t="str">
        <f>IF(A28=DATOS!B$18,B28,"")</f>
        <v/>
      </c>
    </row>
    <row r="29" spans="1:5" s="6" customFormat="1" x14ac:dyDescent="0.3">
      <c r="A29" s="8" t="str">
        <f>B$9</f>
        <v>NBE-AE/88 (RD 1370/1988)</v>
      </c>
      <c r="B29" s="8" t="s">
        <v>182</v>
      </c>
      <c r="C29" s="19">
        <v>100</v>
      </c>
      <c r="D29" s="19">
        <f t="shared" si="1"/>
        <v>100</v>
      </c>
      <c r="E29" s="15" t="str">
        <f>IF(A29=DATOS!B$18,B29,"")</f>
        <v>- Azoteas - Caso A1 (No transitables)</v>
      </c>
    </row>
    <row r="30" spans="1:5" s="6" customFormat="1" x14ac:dyDescent="0.3">
      <c r="A30" s="4" t="str">
        <f t="shared" ref="A30:A44" si="2">B$9</f>
        <v>NBE-AE/88 (RD 1370/1988)</v>
      </c>
      <c r="B30" s="4" t="s">
        <v>183</v>
      </c>
      <c r="C30" s="17">
        <v>150</v>
      </c>
      <c r="D30" s="17">
        <f t="shared" si="1"/>
        <v>150</v>
      </c>
      <c r="E30" s="13" t="str">
        <f>IF(A30=DATOS!B$18,B30,"")</f>
        <v>- Azoteas - Caso A2 (Transitables)</v>
      </c>
    </row>
    <row r="31" spans="1:5" s="6" customFormat="1" x14ac:dyDescent="0.3">
      <c r="A31" s="4" t="str">
        <f t="shared" si="2"/>
        <v>NBE-AE/88 (RD 1370/1988)</v>
      </c>
      <c r="B31" s="4" t="s">
        <v>184</v>
      </c>
      <c r="C31" s="17">
        <v>200</v>
      </c>
      <c r="D31" s="17">
        <f t="shared" si="1"/>
        <v>200</v>
      </c>
      <c r="E31" s="13" t="str">
        <f>IF(A31=DATOS!B$18,B31,"")</f>
        <v>- Viviendas - Caso B1 (Habitaciones)</v>
      </c>
    </row>
    <row r="32" spans="1:5" s="6" customFormat="1" x14ac:dyDescent="0.3">
      <c r="A32" s="4" t="str">
        <f t="shared" si="2"/>
        <v>NBE-AE/88 (RD 1370/1988)</v>
      </c>
      <c r="B32" s="4" t="s">
        <v>185</v>
      </c>
      <c r="C32" s="17">
        <v>300</v>
      </c>
      <c r="D32" s="17">
        <f t="shared" si="1"/>
        <v>300</v>
      </c>
      <c r="E32" s="13" t="str">
        <f>IF(A32=DATOS!B$18,B32,"")</f>
        <v>- Viviendas - Caso B2 (Accesos)</v>
      </c>
    </row>
    <row r="33" spans="1:5" s="6" customFormat="1" x14ac:dyDescent="0.3">
      <c r="A33" s="4" t="str">
        <f t="shared" si="2"/>
        <v>NBE-AE/88 (RD 1370/1988)</v>
      </c>
      <c r="B33" s="4" t="s">
        <v>186</v>
      </c>
      <c r="C33" s="17">
        <v>200</v>
      </c>
      <c r="D33" s="17">
        <f t="shared" si="1"/>
        <v>200</v>
      </c>
      <c r="E33" s="13" t="str">
        <f>IF(A33=DATOS!B$18,B33,"")</f>
        <v>- Alojamientos - Caso C1 (Dormitorios)</v>
      </c>
    </row>
    <row r="34" spans="1:5" s="6" customFormat="1" x14ac:dyDescent="0.3">
      <c r="A34" s="4" t="str">
        <f t="shared" si="2"/>
        <v>NBE-AE/88 (RD 1370/1988)</v>
      </c>
      <c r="B34" s="4" t="s">
        <v>187</v>
      </c>
      <c r="C34" s="17">
        <v>300</v>
      </c>
      <c r="D34" s="17">
        <f t="shared" si="1"/>
        <v>300</v>
      </c>
      <c r="E34" s="13" t="str">
        <f>IF(A34=DATOS!B$18,B34,"")</f>
        <v>- Alojamientos - Caso C2 (Accesos)</v>
      </c>
    </row>
    <row r="35" spans="1:5" s="6" customFormat="1" x14ac:dyDescent="0.3">
      <c r="A35" s="4" t="str">
        <f t="shared" si="2"/>
        <v>NBE-AE/88 (RD 1370/1988)</v>
      </c>
      <c r="B35" s="4" t="s">
        <v>188</v>
      </c>
      <c r="C35" s="17">
        <v>500</v>
      </c>
      <c r="D35" s="17">
        <f t="shared" si="1"/>
        <v>500</v>
      </c>
      <c r="E35" s="13" t="str">
        <f>IF(A35=DATOS!B$18,B35,"")</f>
        <v>- Alojamientos - Caso C3 (Aglomerados)</v>
      </c>
    </row>
    <row r="36" spans="1:5" s="6" customFormat="1" x14ac:dyDescent="0.3">
      <c r="A36" s="4" t="str">
        <f t="shared" si="2"/>
        <v>NBE-AE/88 (RD 1370/1988)</v>
      </c>
      <c r="B36" s="4" t="s">
        <v>189</v>
      </c>
      <c r="C36" s="17">
        <v>200</v>
      </c>
      <c r="D36" s="17">
        <f t="shared" si="1"/>
        <v>200</v>
      </c>
      <c r="E36" s="13" t="str">
        <f>IF(A36=DATOS!B$18,B36,"")</f>
        <v>- Oficinas y comercios - Caso D1 (Privados)</v>
      </c>
    </row>
    <row r="37" spans="1:5" s="6" customFormat="1" x14ac:dyDescent="0.3">
      <c r="A37" s="4" t="str">
        <f t="shared" si="2"/>
        <v>NBE-AE/88 (RD 1370/1988)</v>
      </c>
      <c r="B37" s="4" t="s">
        <v>190</v>
      </c>
      <c r="C37" s="17">
        <v>300</v>
      </c>
      <c r="D37" s="17">
        <f t="shared" si="1"/>
        <v>300</v>
      </c>
      <c r="E37" s="13" t="str">
        <f>IF(A37=DATOS!B$18,B37,"")</f>
        <v>- Oficinas y comercios - Caso D2 (Públicos)</v>
      </c>
    </row>
    <row r="38" spans="1:5" s="6" customFormat="1" x14ac:dyDescent="0.3">
      <c r="A38" s="4" t="str">
        <f t="shared" si="2"/>
        <v>NBE-AE/88 (RD 1370/1988)</v>
      </c>
      <c r="B38" s="4" t="s">
        <v>191</v>
      </c>
      <c r="C38" s="17">
        <v>400</v>
      </c>
      <c r="D38" s="17">
        <f t="shared" si="1"/>
        <v>400</v>
      </c>
      <c r="E38" s="13" t="str">
        <f>IF(A38=DATOS!B$18,B38,"")</f>
        <v>- Oficinas y comercios - Caso D3 (Aglomerados)</v>
      </c>
    </row>
    <row r="39" spans="1:5" s="6" customFormat="1" x14ac:dyDescent="0.3">
      <c r="A39" s="4" t="str">
        <f t="shared" si="2"/>
        <v>NBE-AE/88 (RD 1370/1988)</v>
      </c>
      <c r="B39" s="4" t="s">
        <v>192</v>
      </c>
      <c r="C39" s="17">
        <v>300</v>
      </c>
      <c r="D39" s="17">
        <f t="shared" si="1"/>
        <v>300</v>
      </c>
      <c r="E39" s="13" t="str">
        <f>IF(A39=DATOS!B$18,B39,"")</f>
        <v>- Edificios docentes - Caso E1 (Locales)</v>
      </c>
    </row>
    <row r="40" spans="1:5" s="6" customFormat="1" x14ac:dyDescent="0.3">
      <c r="A40" s="4" t="str">
        <f t="shared" si="2"/>
        <v>NBE-AE/88 (RD 1370/1988)</v>
      </c>
      <c r="B40" s="4" t="s">
        <v>193</v>
      </c>
      <c r="C40" s="17">
        <v>400</v>
      </c>
      <c r="D40" s="17">
        <f t="shared" si="1"/>
        <v>400</v>
      </c>
      <c r="E40" s="13" t="str">
        <f>IF(A40=DATOS!B$18,B40,"")</f>
        <v>- Edificios docentes - Caso E2 (Accesos)</v>
      </c>
    </row>
    <row r="41" spans="1:5" s="6" customFormat="1" x14ac:dyDescent="0.3">
      <c r="A41" s="4" t="str">
        <f t="shared" si="2"/>
        <v>NBE-AE/88 (RD 1370/1988)</v>
      </c>
      <c r="B41" s="4" t="s">
        <v>194</v>
      </c>
      <c r="C41" s="17">
        <v>300</v>
      </c>
      <c r="D41" s="17">
        <f t="shared" si="1"/>
        <v>300</v>
      </c>
      <c r="E41" s="13" t="str">
        <f>IF(A41=DATOS!B$18,B41,"")</f>
        <v>- Edificios de eventos - Caso F1 (Con asientos)</v>
      </c>
    </row>
    <row r="42" spans="1:5" s="6" customFormat="1" x14ac:dyDescent="0.3">
      <c r="A42" s="4" t="str">
        <f t="shared" si="2"/>
        <v>NBE-AE/88 (RD 1370/1988)</v>
      </c>
      <c r="B42" s="4" t="s">
        <v>195</v>
      </c>
      <c r="C42" s="17">
        <v>500</v>
      </c>
      <c r="D42" s="17">
        <f t="shared" si="1"/>
        <v>500</v>
      </c>
      <c r="E42" s="13" t="str">
        <f>IF(A42=DATOS!B$18,B42,"")</f>
        <v>- Edificios de eventos - Caso F2 (Sin asientos)</v>
      </c>
    </row>
    <row r="43" spans="1:5" s="6" customFormat="1" x14ac:dyDescent="0.3">
      <c r="A43" s="4" t="str">
        <f t="shared" si="2"/>
        <v>NBE-AE/88 (RD 1370/1988)</v>
      </c>
      <c r="B43" s="4" t="s">
        <v>196</v>
      </c>
      <c r="C43" s="17">
        <v>400</v>
      </c>
      <c r="D43" s="17">
        <f t="shared" si="1"/>
        <v>400</v>
      </c>
      <c r="E43" s="13" t="str">
        <f>IF(A43=DATOS!B$18,B43,"")</f>
        <v>- Calzadas y garajes - Caso G1 (Coches)</v>
      </c>
    </row>
    <row r="44" spans="1:5" s="6" customFormat="1" ht="15" thickBot="1" x14ac:dyDescent="0.35">
      <c r="A44" s="7" t="str">
        <f t="shared" si="2"/>
        <v>NBE-AE/88 (RD 1370/1988)</v>
      </c>
      <c r="B44" s="7" t="s">
        <v>197</v>
      </c>
      <c r="C44" s="18">
        <v>1000</v>
      </c>
      <c r="D44" s="18">
        <f t="shared" si="1"/>
        <v>1000</v>
      </c>
      <c r="E44" s="14" t="str">
        <f>IF(A44=DATOS!B$18,B44,"")</f>
        <v>- Calzadas y garajes - Caso G2 (Camiones)</v>
      </c>
    </row>
    <row r="45" spans="1:5" s="6" customFormat="1" x14ac:dyDescent="0.3">
      <c r="A45" s="8" t="str">
        <f>B$10</f>
        <v>CTE (RD 314/2006)</v>
      </c>
      <c r="B45" s="8" t="s">
        <v>198</v>
      </c>
      <c r="C45" s="19">
        <v>203.87359836901121</v>
      </c>
      <c r="D45" s="19">
        <v>203.87359836901121</v>
      </c>
      <c r="E45" s="15" t="str">
        <f>IF(A45=DATOS!B$18,B45,"")</f>
        <v/>
      </c>
    </row>
    <row r="46" spans="1:5" s="6" customFormat="1" x14ac:dyDescent="0.3">
      <c r="A46" s="4" t="str">
        <f t="shared" ref="A46:A59" si="3">B$10</f>
        <v>CTE (RD 314/2006)</v>
      </c>
      <c r="B46" s="4" t="s">
        <v>199</v>
      </c>
      <c r="C46" s="17">
        <v>305.81039755351679</v>
      </c>
      <c r="D46" s="17">
        <v>203.87359836901121</v>
      </c>
      <c r="E46" s="13" t="str">
        <f>IF(A46=DATOS!B$18,B46,"")</f>
        <v/>
      </c>
    </row>
    <row r="47" spans="1:5" s="6" customFormat="1" x14ac:dyDescent="0.3">
      <c r="A47" s="4" t="str">
        <f t="shared" si="3"/>
        <v>CTE (RD 314/2006)</v>
      </c>
      <c r="B47" s="4" t="s">
        <v>200</v>
      </c>
      <c r="C47" s="17">
        <v>203.87359836901121</v>
      </c>
      <c r="D47" s="17">
        <v>203.87359836901121</v>
      </c>
      <c r="E47" s="13" t="str">
        <f>IF(A47=DATOS!B$18,B47,"")</f>
        <v/>
      </c>
    </row>
    <row r="48" spans="1:5" s="6" customFormat="1" x14ac:dyDescent="0.3">
      <c r="A48" s="4" t="str">
        <f t="shared" si="3"/>
        <v>CTE (RD 314/2006)</v>
      </c>
      <c r="B48" s="4" t="s">
        <v>201</v>
      </c>
      <c r="C48" s="17">
        <v>305.81039755351679</v>
      </c>
      <c r="D48" s="17">
        <v>407.74719673802241</v>
      </c>
      <c r="E48" s="13" t="str">
        <f>IF(A48=DATOS!B$18,B48,"")</f>
        <v/>
      </c>
    </row>
    <row r="49" spans="1:5" s="6" customFormat="1" x14ac:dyDescent="0.3">
      <c r="A49" s="4" t="str">
        <f t="shared" si="3"/>
        <v>CTE (RD 314/2006)</v>
      </c>
      <c r="B49" s="4" t="s">
        <v>202</v>
      </c>
      <c r="C49" s="17">
        <v>407.74719673802241</v>
      </c>
      <c r="D49" s="17">
        <v>407.74719673802241</v>
      </c>
      <c r="E49" s="13" t="str">
        <f>IF(A49=DATOS!B$18,B49,"")</f>
        <v/>
      </c>
    </row>
    <row r="50" spans="1:5" s="6" customFormat="1" x14ac:dyDescent="0.3">
      <c r="A50" s="4" t="str">
        <f t="shared" si="3"/>
        <v>CTE (RD 314/2006)</v>
      </c>
      <c r="B50" s="4" t="s">
        <v>203</v>
      </c>
      <c r="C50" s="17">
        <v>509.68399592252803</v>
      </c>
      <c r="D50" s="17">
        <v>407.74719673802241</v>
      </c>
      <c r="E50" s="13" t="str">
        <f>IF(A50=DATOS!B$18,B50,"")</f>
        <v/>
      </c>
    </row>
    <row r="51" spans="1:5" s="6" customFormat="1" x14ac:dyDescent="0.3">
      <c r="A51" s="4" t="str">
        <f t="shared" si="3"/>
        <v>CTE (RD 314/2006)</v>
      </c>
      <c r="B51" s="4" t="s">
        <v>204</v>
      </c>
      <c r="C51" s="17">
        <v>509.68399592252803</v>
      </c>
      <c r="D51" s="17">
        <v>713.5575942915392</v>
      </c>
      <c r="E51" s="13" t="str">
        <f>IF(A51=DATOS!B$18,B51,"")</f>
        <v/>
      </c>
    </row>
    <row r="52" spans="1:5" s="6" customFormat="1" x14ac:dyDescent="0.3">
      <c r="A52" s="4" t="str">
        <f t="shared" si="3"/>
        <v>CTE (RD 314/2006)</v>
      </c>
      <c r="B52" s="4" t="s">
        <v>205</v>
      </c>
      <c r="C52" s="17">
        <v>509.68399592252803</v>
      </c>
      <c r="D52" s="17">
        <v>407.74719673802241</v>
      </c>
      <c r="E52" s="13" t="str">
        <f>IF(A52=DATOS!B$18,B52,"")</f>
        <v/>
      </c>
    </row>
    <row r="53" spans="1:5" s="6" customFormat="1" x14ac:dyDescent="0.3">
      <c r="A53" s="4" t="str">
        <f t="shared" si="3"/>
        <v>CTE (RD 314/2006)</v>
      </c>
      <c r="B53" s="4" t="s">
        <v>206</v>
      </c>
      <c r="C53" s="17">
        <v>509.68399592252803</v>
      </c>
      <c r="D53" s="17">
        <v>407.74719673802241</v>
      </c>
      <c r="E53" s="13" t="str">
        <f>IF(A53=DATOS!B$18,B53,"")</f>
        <v/>
      </c>
    </row>
    <row r="54" spans="1:5" s="6" customFormat="1" x14ac:dyDescent="0.3">
      <c r="A54" s="4" t="str">
        <f t="shared" si="3"/>
        <v>CTE (RD 314/2006)</v>
      </c>
      <c r="B54" s="4" t="s">
        <v>207</v>
      </c>
      <c r="C54" s="17">
        <v>509.68399592252803</v>
      </c>
      <c r="D54" s="17">
        <v>713.5575942915392</v>
      </c>
      <c r="E54" s="13" t="str">
        <f>IF(A54=DATOS!B$18,B54,"")</f>
        <v/>
      </c>
    </row>
    <row r="55" spans="1:5" s="6" customFormat="1" x14ac:dyDescent="0.3">
      <c r="A55" s="4" t="str">
        <f t="shared" si="3"/>
        <v>CTE (RD 314/2006)</v>
      </c>
      <c r="B55" s="4" t="s">
        <v>208</v>
      </c>
      <c r="C55" s="17">
        <v>203.87359836901121</v>
      </c>
      <c r="D55" s="17">
        <v>2038.7359836901121</v>
      </c>
      <c r="E55" s="13" t="str">
        <f>IF(A55=DATOS!B$18,B55,"")</f>
        <v/>
      </c>
    </row>
    <row r="56" spans="1:5" s="6" customFormat="1" x14ac:dyDescent="0.3">
      <c r="A56" s="4" t="str">
        <f t="shared" si="3"/>
        <v>CTE (RD 314/2006)</v>
      </c>
      <c r="B56" s="4" t="s">
        <v>209</v>
      </c>
      <c r="C56" s="17">
        <v>101.9367991845056</v>
      </c>
      <c r="D56" s="17">
        <v>203.87359836901121</v>
      </c>
      <c r="E56" s="13" t="str">
        <f>IF(A56=DATOS!B$18,B56,"")</f>
        <v/>
      </c>
    </row>
    <row r="57" spans="1:5" s="6" customFormat="1" x14ac:dyDescent="0.3">
      <c r="A57" s="4" t="str">
        <f t="shared" si="3"/>
        <v>CTE (RD 314/2006)</v>
      </c>
      <c r="B57" s="4" t="s">
        <v>210</v>
      </c>
      <c r="C57" s="17">
        <v>101.9367991845056</v>
      </c>
      <c r="D57" s="17">
        <v>203.87359836901121</v>
      </c>
      <c r="E57" s="13" t="str">
        <f>IF(A57=DATOS!B$18,B57,"")</f>
        <v/>
      </c>
    </row>
    <row r="58" spans="1:5" s="6" customFormat="1" x14ac:dyDescent="0.3">
      <c r="A58" s="4" t="str">
        <f t="shared" si="3"/>
        <v>CTE (RD 314/2006)</v>
      </c>
      <c r="B58" s="4" t="s">
        <v>211</v>
      </c>
      <c r="C58" s="17">
        <v>40.774719673802238</v>
      </c>
      <c r="D58" s="17">
        <v>101.9367991845056</v>
      </c>
      <c r="E58" s="13" t="str">
        <f>IF(A58=DATOS!B$18,B58,"")</f>
        <v/>
      </c>
    </row>
    <row r="59" spans="1:5" s="6" customFormat="1" ht="15" thickBot="1" x14ac:dyDescent="0.35">
      <c r="A59" s="7" t="str">
        <f t="shared" si="3"/>
        <v>CTE (RD 314/2006)</v>
      </c>
      <c r="B59" s="7" t="s">
        <v>212</v>
      </c>
      <c r="C59" s="18">
        <v>0</v>
      </c>
      <c r="D59" s="18">
        <v>203.87359836901121</v>
      </c>
      <c r="E59" s="14" t="str">
        <f>IF(A59=DATOS!B$18,B59,"")</f>
        <v/>
      </c>
    </row>
    <row r="60" spans="1:5" s="6" customFormat="1" x14ac:dyDescent="0.3">
      <c r="A60" s="8"/>
      <c r="B60" s="8"/>
      <c r="C60" s="8"/>
      <c r="D60" s="8"/>
      <c r="E60" s="15" t="str">
        <f>IF(A60=DATOS!B$18,B60,"")</f>
        <v/>
      </c>
    </row>
    <row r="61" spans="1:5" s="6" customFormat="1" x14ac:dyDescent="0.3"/>
    <row r="62" spans="1:5" s="6" customFormat="1" x14ac:dyDescent="0.3">
      <c r="A62" s="3" t="s">
        <v>90</v>
      </c>
      <c r="B62" s="3" t="s">
        <v>49</v>
      </c>
      <c r="C62" s="3" t="s">
        <v>91</v>
      </c>
      <c r="D62" s="3" t="s">
        <v>92</v>
      </c>
    </row>
    <row r="63" spans="1:5" s="6" customFormat="1" x14ac:dyDescent="0.3">
      <c r="A63" s="4" t="s">
        <v>97</v>
      </c>
      <c r="B63" s="22">
        <v>0.156</v>
      </c>
      <c r="C63" s="22">
        <v>3.0000000000000001E-3</v>
      </c>
      <c r="D63" s="22">
        <v>1</v>
      </c>
    </row>
    <row r="64" spans="1:5" s="6" customFormat="1" x14ac:dyDescent="0.3">
      <c r="A64" s="4" t="s">
        <v>96</v>
      </c>
      <c r="B64" s="22">
        <v>0.17</v>
      </c>
      <c r="C64" s="22">
        <v>0.01</v>
      </c>
      <c r="D64" s="22">
        <v>1</v>
      </c>
    </row>
    <row r="65" spans="1:4" s="6" customFormat="1" x14ac:dyDescent="0.3">
      <c r="A65" s="4" t="s">
        <v>95</v>
      </c>
      <c r="B65" s="22">
        <v>0.19</v>
      </c>
      <c r="C65" s="22">
        <v>0.05</v>
      </c>
      <c r="D65" s="22">
        <v>2</v>
      </c>
    </row>
    <row r="66" spans="1:4" s="6" customFormat="1" x14ac:dyDescent="0.3">
      <c r="A66" s="4" t="s">
        <v>94</v>
      </c>
      <c r="B66" s="22">
        <v>0.22</v>
      </c>
      <c r="C66" s="22">
        <v>0.3</v>
      </c>
      <c r="D66" s="22">
        <v>5</v>
      </c>
    </row>
    <row r="67" spans="1:4" s="6" customFormat="1" x14ac:dyDescent="0.3">
      <c r="A67" s="4" t="s">
        <v>93</v>
      </c>
      <c r="B67" s="22">
        <v>0.24</v>
      </c>
      <c r="C67" s="22">
        <v>1</v>
      </c>
      <c r="D67" s="22">
        <v>10</v>
      </c>
    </row>
    <row r="68" spans="1:4" s="6" customFormat="1" x14ac:dyDescent="0.3"/>
    <row r="69" spans="1:4" s="6" customFormat="1" x14ac:dyDescent="0.3">
      <c r="A69" s="3" t="s">
        <v>18</v>
      </c>
      <c r="B69" s="3" t="s">
        <v>60</v>
      </c>
      <c r="C69" s="3" t="s">
        <v>99</v>
      </c>
    </row>
    <row r="70" spans="1:4" s="6" customFormat="1" x14ac:dyDescent="0.3">
      <c r="A70" s="4">
        <v>0</v>
      </c>
      <c r="B70" s="17">
        <v>0.6</v>
      </c>
      <c r="C70" s="17">
        <v>0.5</v>
      </c>
    </row>
    <row r="71" spans="1:4" s="6" customFormat="1" x14ac:dyDescent="0.3">
      <c r="A71" s="4">
        <v>5</v>
      </c>
      <c r="B71" s="17">
        <v>1.1000000000000001</v>
      </c>
      <c r="C71" s="17">
        <v>0.8</v>
      </c>
    </row>
    <row r="72" spans="1:4" s="6" customFormat="1" x14ac:dyDescent="0.3">
      <c r="A72" s="4">
        <v>10</v>
      </c>
      <c r="B72" s="17">
        <v>1.5</v>
      </c>
      <c r="C72" s="17">
        <v>1.2</v>
      </c>
    </row>
    <row r="73" spans="1:4" s="6" customFormat="1" x14ac:dyDescent="0.3">
      <c r="A73" s="4">
        <v>15</v>
      </c>
      <c r="B73" s="17">
        <v>1.8</v>
      </c>
      <c r="C73" s="17">
        <v>1.4</v>
      </c>
    </row>
    <row r="74" spans="1:4" s="6" customFormat="1" x14ac:dyDescent="0.3">
      <c r="A74" s="4">
        <v>20</v>
      </c>
      <c r="B74" s="17">
        <v>2.2000000000000002</v>
      </c>
      <c r="C74" s="17">
        <v>1.7</v>
      </c>
    </row>
    <row r="75" spans="1:4" s="6" customFormat="1" x14ac:dyDescent="0.3">
      <c r="A75" s="4">
        <v>25</v>
      </c>
      <c r="B75" s="17">
        <v>2.6</v>
      </c>
      <c r="C75" s="17">
        <v>2</v>
      </c>
    </row>
    <row r="76" spans="1:4" s="6" customFormat="1" x14ac:dyDescent="0.3">
      <c r="A76" s="4">
        <v>30</v>
      </c>
      <c r="B76" s="17">
        <v>3</v>
      </c>
      <c r="C76" s="17">
        <v>2.2000000000000002</v>
      </c>
    </row>
    <row r="77" spans="1:4" s="6" customFormat="1" x14ac:dyDescent="0.3">
      <c r="A77" s="36">
        <f>MAX(A76,DATOS!B26)</f>
        <v>30</v>
      </c>
      <c r="B77" s="17">
        <f>B76+(B76-B75)*(A77-A76)/5</f>
        <v>3</v>
      </c>
      <c r="C77" s="17">
        <f>C76+(C76-C75)*(A77-A76)/5</f>
        <v>2.2000000000000002</v>
      </c>
    </row>
    <row r="78" spans="1:4" s="6" customFormat="1" x14ac:dyDescent="0.3"/>
    <row r="79" spans="1:4" s="6" customFormat="1" x14ac:dyDescent="0.3"/>
    <row r="80" spans="1:4" s="6" customFormat="1" x14ac:dyDescent="0.3"/>
    <row r="81" s="6" customFormat="1" x14ac:dyDescent="0.3"/>
    <row r="82" s="6" customFormat="1" x14ac:dyDescent="0.3"/>
    <row r="83" s="6" customFormat="1" x14ac:dyDescent="0.3"/>
    <row r="84" s="6" customFormat="1" x14ac:dyDescent="0.3"/>
    <row r="85" s="6" customFormat="1" x14ac:dyDescent="0.3"/>
    <row r="86" s="6" customFormat="1" x14ac:dyDescent="0.3"/>
    <row r="87" s="6" customFormat="1" x14ac:dyDescent="0.3"/>
    <row r="88" s="6" customFormat="1" x14ac:dyDescent="0.3"/>
    <row r="89" s="6" customFormat="1" x14ac:dyDescent="0.3"/>
    <row r="90" s="6" customFormat="1" x14ac:dyDescent="0.3"/>
    <row r="91" s="6" customFormat="1" x14ac:dyDescent="0.3"/>
    <row r="92" s="6" customFormat="1" x14ac:dyDescent="0.3"/>
    <row r="93" s="6" customFormat="1" x14ac:dyDescent="0.3"/>
    <row r="94" s="6" customFormat="1" x14ac:dyDescent="0.3"/>
    <row r="95" s="6" customFormat="1" x14ac:dyDescent="0.3"/>
    <row r="96" s="6" customFormat="1" x14ac:dyDescent="0.3"/>
    <row r="97" s="6" customFormat="1" x14ac:dyDescent="0.3"/>
    <row r="98" s="6" customFormat="1" x14ac:dyDescent="0.3"/>
    <row r="99" s="6" customFormat="1" x14ac:dyDescent="0.3"/>
    <row r="100" s="6" customFormat="1" x14ac:dyDescent="0.3"/>
    <row r="101" s="6" customFormat="1" x14ac:dyDescent="0.3"/>
    <row r="102" s="6" customFormat="1" x14ac:dyDescent="0.3"/>
    <row r="103" s="6" customFormat="1" x14ac:dyDescent="0.3"/>
    <row r="104" s="6" customFormat="1" x14ac:dyDescent="0.3"/>
    <row r="105" s="6" customFormat="1" x14ac:dyDescent="0.3"/>
    <row r="106" s="6" customFormat="1" x14ac:dyDescent="0.3"/>
    <row r="107" s="6" customFormat="1" x14ac:dyDescent="0.3"/>
    <row r="108" s="6" customFormat="1" x14ac:dyDescent="0.3"/>
    <row r="109" s="6" customFormat="1" x14ac:dyDescent="0.3"/>
    <row r="110" s="6" customFormat="1" x14ac:dyDescent="0.3"/>
    <row r="111" s="6" customFormat="1" x14ac:dyDescent="0.3"/>
    <row r="112" s="6" customFormat="1" x14ac:dyDescent="0.3"/>
    <row r="113" s="6" customFormat="1" x14ac:dyDescent="0.3"/>
    <row r="114" s="6" customFormat="1" x14ac:dyDescent="0.3"/>
    <row r="115" s="6" customFormat="1" x14ac:dyDescent="0.3"/>
    <row r="116" s="6" customFormat="1" x14ac:dyDescent="0.3"/>
    <row r="117" s="6" customFormat="1" x14ac:dyDescent="0.3"/>
    <row r="118" s="6" customFormat="1" x14ac:dyDescent="0.3"/>
    <row r="119" s="6" customFormat="1" x14ac:dyDescent="0.3"/>
    <row r="120" s="6" customFormat="1" x14ac:dyDescent="0.3"/>
    <row r="121" s="6" customFormat="1" x14ac:dyDescent="0.3"/>
    <row r="122" s="6" customFormat="1" x14ac:dyDescent="0.3"/>
    <row r="123" s="6" customFormat="1" x14ac:dyDescent="0.3"/>
    <row r="124" s="6" customFormat="1" x14ac:dyDescent="0.3"/>
    <row r="125" s="6" customFormat="1" x14ac:dyDescent="0.3"/>
    <row r="126" s="6" customFormat="1" x14ac:dyDescent="0.3"/>
    <row r="127" s="6" customFormat="1" x14ac:dyDescent="0.3"/>
    <row r="128" s="6" customFormat="1" x14ac:dyDescent="0.3"/>
    <row r="129" s="6" customFormat="1" x14ac:dyDescent="0.3"/>
    <row r="130" s="6" customFormat="1" x14ac:dyDescent="0.3"/>
    <row r="131" s="6" customFormat="1" x14ac:dyDescent="0.3"/>
    <row r="132" s="6" customFormat="1" x14ac:dyDescent="0.3"/>
    <row r="133" s="6" customFormat="1" x14ac:dyDescent="0.3"/>
    <row r="134" s="6" customFormat="1" x14ac:dyDescent="0.3"/>
    <row r="135" s="6" customFormat="1" x14ac:dyDescent="0.3"/>
    <row r="136" s="6" customFormat="1" x14ac:dyDescent="0.3"/>
    <row r="137" s="6" customFormat="1" x14ac:dyDescent="0.3"/>
    <row r="138" s="6" customFormat="1" x14ac:dyDescent="0.3"/>
    <row r="139" s="6" customFormat="1" x14ac:dyDescent="0.3"/>
    <row r="140" s="6" customFormat="1" x14ac:dyDescent="0.3"/>
    <row r="141" s="6" customFormat="1" x14ac:dyDescent="0.3"/>
    <row r="142" s="6" customFormat="1" x14ac:dyDescent="0.3"/>
    <row r="143" s="6" customFormat="1" x14ac:dyDescent="0.3"/>
    <row r="144" s="6" customFormat="1" x14ac:dyDescent="0.3"/>
    <row r="145" spans="1:2" s="6" customFormat="1" x14ac:dyDescent="0.3"/>
    <row r="146" spans="1:2" s="6" customFormat="1" x14ac:dyDescent="0.3"/>
    <row r="147" spans="1:2" s="6" customFormat="1" x14ac:dyDescent="0.3"/>
    <row r="148" spans="1:2" s="6" customFormat="1" x14ac:dyDescent="0.3"/>
    <row r="149" spans="1:2" s="6" customFormat="1" x14ac:dyDescent="0.3"/>
    <row r="150" spans="1:2" s="6" customFormat="1" x14ac:dyDescent="0.3"/>
    <row r="151" spans="1:2" s="6" customFormat="1" x14ac:dyDescent="0.3"/>
    <row r="152" spans="1:2" s="6" customFormat="1" x14ac:dyDescent="0.3"/>
    <row r="153" spans="1:2" s="6" customFormat="1" x14ac:dyDescent="0.3">
      <c r="A153" s="2"/>
    </row>
    <row r="154" spans="1:2" x14ac:dyDescent="0.3">
      <c r="B154" s="6"/>
    </row>
    <row r="168" spans="1:1" x14ac:dyDescent="0.3">
      <c r="A168" s="37" t="s">
        <v>0</v>
      </c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REFERENCIAS</vt:lpstr>
      <vt:lpstr>DATOS!Área_de_impresión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Domínguez Galvá</dc:creator>
  <cp:lastModifiedBy>Andrés Domínguez Galvá</cp:lastModifiedBy>
  <cp:lastPrinted>2025-07-05T17:26:41Z</cp:lastPrinted>
  <dcterms:created xsi:type="dcterms:W3CDTF">2015-06-05T18:19:34Z</dcterms:created>
  <dcterms:modified xsi:type="dcterms:W3CDTF">2025-07-05T18:25:29Z</dcterms:modified>
</cp:coreProperties>
</file>