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andre\Documents\PÁGINA WEB\3 - Publicaciones\Entradas publicadas\Entrada Nº90 - HOJA EXCEL PARA EL DISEÑO DE LA PUESTA A TIERRA DE SUMINISTROS CONECTADOS EN ALTA TENSIÓN\Archivos asociados\"/>
    </mc:Choice>
  </mc:AlternateContent>
  <xr:revisionPtr revIDLastSave="0" documentId="13_ncr:1_{88F2FA90-6BCB-477B-AFB6-AFEE4471CD1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AT" sheetId="4" r:id="rId1"/>
    <sheet name="ALT" sheetId="5" r:id="rId2"/>
    <sheet name="REF" sheetId="2" r:id="rId3"/>
    <sheet name="BLANCO" sheetId="1" r:id="rId4"/>
  </sheets>
  <definedNames>
    <definedName name="_xlnm.Print_Area" localSheetId="0">PAT!$A$1:$E$97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8" i="4" l="1"/>
  <c r="H7" i="5"/>
  <c r="C19" i="4"/>
  <c r="C20" i="4" s="1"/>
  <c r="C23" i="4"/>
  <c r="E7" i="5"/>
  <c r="F7" i="5" s="1"/>
  <c r="G7" i="5" s="1"/>
  <c r="K39" i="2"/>
  <c r="K26" i="2"/>
  <c r="E40" i="4" s="1"/>
  <c r="K25" i="2"/>
  <c r="K24" i="2"/>
  <c r="K23" i="2"/>
  <c r="K22" i="2"/>
  <c r="K21" i="2"/>
  <c r="K20" i="2"/>
  <c r="K19" i="2"/>
  <c r="C39" i="4"/>
  <c r="C49" i="4"/>
  <c r="A7" i="5"/>
  <c r="C3" i="5"/>
  <c r="A3" i="5"/>
  <c r="K31" i="2"/>
  <c r="K32" i="2"/>
  <c r="E73" i="4" s="1"/>
  <c r="K33" i="2"/>
  <c r="K34" i="2"/>
  <c r="K35" i="2"/>
  <c r="K36" i="2"/>
  <c r="K37" i="2"/>
  <c r="K38" i="2"/>
  <c r="K30" i="2"/>
  <c r="E84" i="4" s="1"/>
  <c r="E3" i="2"/>
  <c r="C45" i="4" s="1"/>
  <c r="C36" i="4"/>
  <c r="C72" i="4"/>
  <c r="C74" i="4"/>
  <c r="C71" i="4"/>
  <c r="C82" i="4"/>
  <c r="C85" i="4"/>
  <c r="C43" i="4"/>
  <c r="C42" i="4"/>
  <c r="C41" i="4"/>
  <c r="C83" i="4"/>
  <c r="A14" i="2"/>
  <c r="C14" i="4"/>
  <c r="C44" i="4" l="1"/>
  <c r="C37" i="4" s="1"/>
  <c r="C31" i="4"/>
  <c r="C24" i="4"/>
  <c r="C32" i="4" s="1"/>
  <c r="H3" i="5"/>
  <c r="G3" i="5" s="1"/>
  <c r="I7" i="5"/>
  <c r="C86" i="4"/>
  <c r="C25" i="4"/>
  <c r="C27" i="4"/>
  <c r="C30" i="4"/>
  <c r="C75" i="4"/>
  <c r="E76" i="4" s="1"/>
  <c r="C28" i="4"/>
  <c r="A11" i="5" l="1"/>
  <c r="C11" i="5" s="1"/>
  <c r="D11" i="5" s="1"/>
  <c r="C26" i="4"/>
  <c r="C29" i="4"/>
  <c r="E88" i="4"/>
  <c r="E87" i="4"/>
  <c r="E4" i="2" l="1"/>
  <c r="C38" i="4"/>
  <c r="E95" i="4" l="1"/>
  <c r="C47" i="4"/>
  <c r="E62" i="4" s="1"/>
  <c r="C46" i="4"/>
  <c r="C54" i="4"/>
  <c r="C59" i="4" s="1"/>
  <c r="E94" i="4"/>
  <c r="E96" i="4" l="1"/>
  <c r="E64" i="4"/>
  <c r="E63" i="4"/>
  <c r="E60" i="4"/>
  <c r="E61" i="4"/>
  <c r="E65" i="4"/>
</calcChain>
</file>

<file path=xl/sharedStrings.xml><?xml version="1.0" encoding="utf-8"?>
<sst xmlns="http://schemas.openxmlformats.org/spreadsheetml/2006/main" count="407" uniqueCount="253">
  <si>
    <t>RA1</t>
  </si>
  <si>
    <t>TF</t>
  </si>
  <si>
    <t>UCA</t>
  </si>
  <si>
    <t>ρT</t>
  </si>
  <si>
    <t>CS</t>
  </si>
  <si>
    <t>Valor estimado por proyectista</t>
  </si>
  <si>
    <t>DESCRIPCIÓN</t>
  </si>
  <si>
    <t>Duración del defecto</t>
  </si>
  <si>
    <t>Tensión de contacto aplicada admisible</t>
  </si>
  <si>
    <t>PARÁMETRO</t>
  </si>
  <si>
    <t>VALOR</t>
  </si>
  <si>
    <t>Resistencia equivalente del calzado</t>
  </si>
  <si>
    <t>Resistividad del terreno</t>
  </si>
  <si>
    <t>UD</t>
  </si>
  <si>
    <t>UC-INT</t>
  </si>
  <si>
    <t>UP-INT</t>
  </si>
  <si>
    <t>UC-EXT</t>
  </si>
  <si>
    <t>UP-EXT</t>
  </si>
  <si>
    <t>UP-ACC</t>
  </si>
  <si>
    <t>Tensión de defecto a tierra</t>
  </si>
  <si>
    <t>ACBT</t>
  </si>
  <si>
    <t>Aislamiento del cuadro de BT del CT</t>
  </si>
  <si>
    <t>KR</t>
  </si>
  <si>
    <t>KP</t>
  </si>
  <si>
    <t>KC.EXT // KP.ACC</t>
  </si>
  <si>
    <t>ID</t>
  </si>
  <si>
    <t>Intensidad de defecto</t>
  </si>
  <si>
    <t>ID0</t>
  </si>
  <si>
    <t>RT-AT</t>
  </si>
  <si>
    <t>RT-N</t>
  </si>
  <si>
    <t>D</t>
  </si>
  <si>
    <t>UC-BT</t>
  </si>
  <si>
    <t>RT-BT</t>
  </si>
  <si>
    <t>TT</t>
  </si>
  <si>
    <t>Apartado 9 ITC-BT-18</t>
  </si>
  <si>
    <t>UL</t>
  </si>
  <si>
    <t>Sensibilidad del diferencial de cabecera</t>
  </si>
  <si>
    <t>RT-BT-MAX</t>
  </si>
  <si>
    <t>60-40/5/82</t>
  </si>
  <si>
    <t>60-40/8/82</t>
  </si>
  <si>
    <t>80-40/5/82</t>
  </si>
  <si>
    <t>80-40/8/82</t>
  </si>
  <si>
    <t>PFU4</t>
  </si>
  <si>
    <t>PFU5</t>
  </si>
  <si>
    <t>5/22</t>
  </si>
  <si>
    <t>5/32</t>
  </si>
  <si>
    <t>5/42</t>
  </si>
  <si>
    <t>5/62</t>
  </si>
  <si>
    <t>5/82</t>
  </si>
  <si>
    <t>NA</t>
  </si>
  <si>
    <t>8/22</t>
  </si>
  <si>
    <t>8/32</t>
  </si>
  <si>
    <t>8/42</t>
  </si>
  <si>
    <t>8/62</t>
  </si>
  <si>
    <t>8/82</t>
  </si>
  <si>
    <t>Coeficiente de resistencia</t>
  </si>
  <si>
    <t>Resistencia de puesta a tierra de AT</t>
  </si>
  <si>
    <t>Resistencia de puesta a tierra de BT</t>
  </si>
  <si>
    <t>TN</t>
  </si>
  <si>
    <t>Tablas metodología UNESA - Anexo II</t>
  </si>
  <si>
    <t>Resistencia máxima de la tierra del neutro</t>
  </si>
  <si>
    <t>RT-N-MAX</t>
  </si>
  <si>
    <t>Resistencia de puesta a tierra del neutro</t>
  </si>
  <si>
    <t>KR-N</t>
  </si>
  <si>
    <t>Depende del modelo de armario</t>
  </si>
  <si>
    <t>CONF-N</t>
  </si>
  <si>
    <t>ESQ-BT</t>
  </si>
  <si>
    <t>CONF-BT</t>
  </si>
  <si>
    <t>KR-BT</t>
  </si>
  <si>
    <t>KR-AT</t>
  </si>
  <si>
    <t>CONF-AT</t>
  </si>
  <si>
    <t>UC-EXT-MAX</t>
  </si>
  <si>
    <t>UP-EXT-MAX</t>
  </si>
  <si>
    <t>Sensibilidad de referencia</t>
  </si>
  <si>
    <t>Fórmula Nº3 de la ITC-RAT 13</t>
  </si>
  <si>
    <t>Fórmula Nº1 de la ITC-RAT 13</t>
  </si>
  <si>
    <t>Fórmula Nº2 de la ITC-RAT 13</t>
  </si>
  <si>
    <t>Fórmula P.11 de la ITC-BT-18</t>
  </si>
  <si>
    <t>Valor fijado por proyectista</t>
  </si>
  <si>
    <t>Resultado de [KR x ρT]</t>
  </si>
  <si>
    <t>TABLA 1 DE LA ITC-RAT 13</t>
  </si>
  <si>
    <t>VALORES ITC-BT 18</t>
  </si>
  <si>
    <t>UNIDADES</t>
  </si>
  <si>
    <t>-</t>
  </si>
  <si>
    <t>[A]</t>
  </si>
  <si>
    <t>[s]</t>
  </si>
  <si>
    <t>[V]</t>
  </si>
  <si>
    <t>[m]</t>
  </si>
  <si>
    <t>[Ωm]</t>
  </si>
  <si>
    <t>[-]</t>
  </si>
  <si>
    <t>[Ω]</t>
  </si>
  <si>
    <t>[Ω/Ωm]</t>
  </si>
  <si>
    <t>[Ω/(Ωm·A)]</t>
  </si>
  <si>
    <t>VALORES OBTENIDOS EN PASOS ANTERIORES</t>
  </si>
  <si>
    <t>3) COMPROBACIÓN DE LAS TENSIONES DE CONTACTO, PASO Y DEFECTO</t>
  </si>
  <si>
    <t>4) CÁLCULO DE LA PUESTA A TIERRA DE SERVICIO (NEUTRO)</t>
  </si>
  <si>
    <t>PREFABRICADO</t>
  </si>
  <si>
    <t>DIM1</t>
  </si>
  <si>
    <t>DIM2</t>
  </si>
  <si>
    <t>PROF</t>
  </si>
  <si>
    <t>Nº</t>
  </si>
  <si>
    <t>LONG</t>
  </si>
  <si>
    <t>PARÁMETROS</t>
  </si>
  <si>
    <t>DECRIPCIÓN</t>
  </si>
  <si>
    <t>30-30/5/42</t>
  </si>
  <si>
    <t>30-30/8/42</t>
  </si>
  <si>
    <t>CM</t>
  </si>
  <si>
    <t>40-40/5/42</t>
  </si>
  <si>
    <t>40-40/8/42</t>
  </si>
  <si>
    <r>
      <t>[</t>
    </r>
    <r>
      <rPr>
        <sz val="10"/>
        <color theme="1"/>
        <rFont val="Calibri"/>
        <family val="2"/>
      </rPr>
      <t>Ω</t>
    </r>
    <r>
      <rPr>
        <sz val="10"/>
        <color theme="1"/>
        <rFont val="Abadi"/>
        <family val="2"/>
      </rPr>
      <t>]</t>
    </r>
  </si>
  <si>
    <r>
      <t>[</t>
    </r>
    <r>
      <rPr>
        <sz val="10"/>
        <color theme="1"/>
        <rFont val="Calibri"/>
        <family val="2"/>
      </rPr>
      <t>Ω</t>
    </r>
    <r>
      <rPr>
        <sz val="10"/>
        <color theme="1"/>
        <rFont val="Abadi"/>
        <family val="2"/>
      </rPr>
      <t>m]</t>
    </r>
  </si>
  <si>
    <t>1) OBTENCIÓN DE LAS TENSIONES MÁXIMAS ADMISIBLES</t>
  </si>
  <si>
    <t>PARÁMETROS CALCULADOS CON FÓRMULAS</t>
  </si>
  <si>
    <t>Despreciable por montaje de mallazo equipotencial embebido en suelo de hormigón puesto a tierra</t>
  </si>
  <si>
    <t>SDIF-N</t>
  </si>
  <si>
    <t>SDIF-BT</t>
  </si>
  <si>
    <t>Condición mínima 2: tensión de defecto (UD) inferior al aislamiento eléctrico del cuadro del CT (ACBT)</t>
  </si>
  <si>
    <t>Resistencia máxima de la tierra de baja tensión</t>
  </si>
  <si>
    <t>CONFIGURACIONES PUESTA A TIERRA BT (HILERA)</t>
  </si>
  <si>
    <t>CONFIGURACIONES PUESTA A TIERRA AT (ANILLO / MALLA)</t>
  </si>
  <si>
    <t>RESISTENCIA PAT</t>
  </si>
  <si>
    <t>POSICIÓN</t>
  </si>
  <si>
    <t>FACTOR</t>
  </si>
  <si>
    <t>VALORES PLACAS</t>
  </si>
  <si>
    <t>ESQUEMA</t>
  </si>
  <si>
    <t>Horizontal</t>
  </si>
  <si>
    <t>Vertical</t>
  </si>
  <si>
    <t>ANCHO PLACA</t>
  </si>
  <si>
    <t>LARGO PLACA</t>
  </si>
  <si>
    <t>FACTOR KR</t>
  </si>
  <si>
    <t>Tensión límite transmitible en función del esquema de la PAT</t>
  </si>
  <si>
    <t>Resultado de [KR-BT x ρT]</t>
  </si>
  <si>
    <t>Resultado de [KR-N x ρT]</t>
  </si>
  <si>
    <t>ANCHO MALLA</t>
  </si>
  <si>
    <t>DENSIDADES MÁXIMA ICC</t>
  </si>
  <si>
    <t>MATERIAL</t>
  </si>
  <si>
    <t>Acero</t>
  </si>
  <si>
    <t>Aluminio</t>
  </si>
  <si>
    <t>Cobre</t>
  </si>
  <si>
    <t>Para determinar la densidad de corriente máxima</t>
  </si>
  <si>
    <t>Apartado 1.1 de la ITC-RAT 13</t>
  </si>
  <si>
    <t>Resultado de [RT-AT x ID]</t>
  </si>
  <si>
    <t>Condición mínima 3: densidad de corriente por debajo del umbral de los conductores de tierra</t>
  </si>
  <si>
    <t>Densidad de corriente sufrida por los conductores de tierra</t>
  </si>
  <si>
    <t>Material empleado para los conductores de tierra</t>
  </si>
  <si>
    <t>Densidad de corriente máxima acorde a normativa</t>
  </si>
  <si>
    <t>ACLARACIONES Y FUENTES CONSULTADAS</t>
  </si>
  <si>
    <t>Tabla Nº2 de la ITC-RAT 13 (hormigón)</t>
  </si>
  <si>
    <t>DC-PAT</t>
  </si>
  <si>
    <t>DC-PAT-MAX</t>
  </si>
  <si>
    <t>MEC</t>
  </si>
  <si>
    <t>Apartado 3.1 de la ITC-RAT 13 (depende de MEC)</t>
  </si>
  <si>
    <t>Separación mínima de la PAT de AT con PAT de neutro y BT</t>
  </si>
  <si>
    <t>MEDICIONES TOMADAS EN OBRA (IN SITU)</t>
  </si>
  <si>
    <t>Tensión de contacto dentro del CT o sobre base del apoyo</t>
  </si>
  <si>
    <t>Tensión de paso dentro del CT o sobre base del apoyo</t>
  </si>
  <si>
    <t>Tensión de contacto fuera del CT o de la base del apoyo</t>
  </si>
  <si>
    <t>Tensión de paso fuera del CT o de la base del apoyo</t>
  </si>
  <si>
    <t>Tensión de paso en el acceso al CT o la base del apoyo</t>
  </si>
  <si>
    <t>Configuración elegida para la puesta a tierra de AT</t>
  </si>
  <si>
    <t>Configuración elegida para la puesta a tierra del neutro</t>
  </si>
  <si>
    <t>Configuración elegida para la puesta a tierra de BT</t>
  </si>
  <si>
    <t>2) DISEÑO DE LA PUESTA A TIERRA DE HERRAJES (ALTA TENSIÓN)</t>
  </si>
  <si>
    <t>Reducción por la puesta a tierra de la pantalla de los cables</t>
  </si>
  <si>
    <t>Fórmula P.4.1.2 de la ITC-BT 24,
resultado de [UC-BT / SDIF-N]</t>
  </si>
  <si>
    <t>Fórmula P.4.1.2 de la ITC-BT 24,
resultado de [UC-BT / SDIF-BT]</t>
  </si>
  <si>
    <t>Tensión de contacto máxima admisible exterior (sobre terreno)</t>
  </si>
  <si>
    <t>Tensión de paso máxima admisible exterior (sobre terreno)</t>
  </si>
  <si>
    <t>Esquema de puesta a tierra</t>
  </si>
  <si>
    <t>Dato facilitado por la empresa distribuidora</t>
  </si>
  <si>
    <t>Valor estimado por el proyectista</t>
  </si>
  <si>
    <t>Esquema elegido por el proyectista</t>
  </si>
  <si>
    <r>
      <t>Para una sección de 50 [mm</t>
    </r>
    <r>
      <rPr>
        <sz val="10"/>
        <color theme="1"/>
        <rFont val="Calibri"/>
        <family val="2"/>
      </rPr>
      <t>²</t>
    </r>
    <r>
      <rPr>
        <sz val="10"/>
        <color theme="1"/>
        <rFont val="Abadi"/>
        <family val="2"/>
      </rPr>
      <t>], resultado de [ID/50]</t>
    </r>
  </si>
  <si>
    <t>CÁLCULO DE LA PUESTA A TIERRA / LEYENDA DE COLORES</t>
  </si>
  <si>
    <t>HS1</t>
  </si>
  <si>
    <t>ρ*1</t>
  </si>
  <si>
    <t>CS1</t>
  </si>
  <si>
    <t>ρS1</t>
  </si>
  <si>
    <t>HS2</t>
  </si>
  <si>
    <t>ρ*2</t>
  </si>
  <si>
    <t>CS2</t>
  </si>
  <si>
    <t>ρS2</t>
  </si>
  <si>
    <t>Espesor de la capa superficial (zona 1)</t>
  </si>
  <si>
    <t>Resistividad de la capa superficial (zona 1)</t>
  </si>
  <si>
    <t>Coeficiente reductor de la resistividad (zona 1)</t>
  </si>
  <si>
    <t>Resistividad superficial aparente del suelo (zona 1)</t>
  </si>
  <si>
    <t>Espesor de la capa superficial (zona 2)</t>
  </si>
  <si>
    <t>Resistividad de la capa superficial (zona 2)</t>
  </si>
  <si>
    <t>Coeficiente reductor de la resistividad (zona 2)</t>
  </si>
  <si>
    <t>Resistividad superficial aparente del suelo (zona 2)</t>
  </si>
  <si>
    <t>Tensión de contacto máxima admisible interior (sobre zona 1)</t>
  </si>
  <si>
    <t>Tensión de paso máxima admisible interior (sobre zona 1)</t>
  </si>
  <si>
    <t>Tensión de paso máxima admisible en acceso (terreno/zona 1)</t>
  </si>
  <si>
    <t>UC-INT-MAX1</t>
  </si>
  <si>
    <t>UC-INT-MAX2</t>
  </si>
  <si>
    <t>Tensión de contacto máxima admisible interior (sobre zona 2)</t>
  </si>
  <si>
    <t>Resultado de [ρ*1 x CS1]</t>
  </si>
  <si>
    <t>UP-INT-MAX1</t>
  </si>
  <si>
    <t>Tensión de paso máxima admisible interior (sobre zona 2)</t>
  </si>
  <si>
    <t>UP-INT-MAX2</t>
  </si>
  <si>
    <t>Tabla D.1 IEEE Std 81TM-2012 (asfalto húmedo)</t>
  </si>
  <si>
    <t>UP-ACC-MAX1</t>
  </si>
  <si>
    <t>UP-ACC-MAX2</t>
  </si>
  <si>
    <t>Tensión de paso máxima admisible en acceso (terreno/zona 2)</t>
  </si>
  <si>
    <t>Resultado de [ρ*2 x CS2]</t>
  </si>
  <si>
    <t>Intensidad de defecto corregida (también denominada IE)</t>
  </si>
  <si>
    <t>SEPARACIÓN ENTRE PICAS</t>
  </si>
  <si>
    <t>6) REVISIÓN DEL DISEÑO Y MEDIDAS COMPLEMENTARIAS</t>
  </si>
  <si>
    <t>5) CÁLCULO DE LA PUESTA A TIERRA DE UTILIZACIÓN (BAJA TENSIÓN)</t>
  </si>
  <si>
    <t>rE</t>
  </si>
  <si>
    <t>Resultado de [ID0 x rE]</t>
  </si>
  <si>
    <t>RESISTENCIA PAT PANTALLA</t>
  </si>
  <si>
    <t>RESISTENCIA EQUIVALENTE</t>
  </si>
  <si>
    <t>CÁLCULO REDUCCIÓN ID0 POR EQUIVALENTE THÉVENIN</t>
  </si>
  <si>
    <t>CÁLCULO PAT CON PLACA ENTERRADA (TABLA 3 DE LA ITC-RAT 13)</t>
  </si>
  <si>
    <t>CÁLCULO PAT CON MALLA (TABLA 3 DE LA ITC-RAT 13)</t>
  </si>
  <si>
    <t>Tensión de contacto convencional de referencia</t>
  </si>
  <si>
    <t>Obtenido de la Guía-BT-18 (ED: Oct 05 / REV: 1) o estimado mediante el teorema de Thévenin</t>
  </si>
  <si>
    <t>FACTOR POSICIÓN</t>
  </si>
  <si>
    <t>COEFICIENTE REDUCTOR</t>
  </si>
  <si>
    <t>LONGITUD DE LA PICA</t>
  </si>
  <si>
    <t>POSICIÓN DE LA PLACA</t>
  </si>
  <si>
    <t>RESISTENCIA PAT HERRAJES</t>
  </si>
  <si>
    <t>Nº DE PICAS</t>
  </si>
  <si>
    <t>Nº DE PLACAS</t>
  </si>
  <si>
    <t>LONGITUD MALLA</t>
  </si>
  <si>
    <t>Valor recomendado en guías técnicas y normas particulares de las empresas distribuidoras</t>
  </si>
  <si>
    <t>Tabla/Figura Nº1 de la ITC-RAT 13 (depende de TF)</t>
  </si>
  <si>
    <t>SE CUMPLEN LOS LÍMITES INDICADOS POR LA NORMATIVA</t>
  </si>
  <si>
    <t>NO SE CUMPLEN LOS LÍMITES INDICADOS POR LA NORMATIVA</t>
  </si>
  <si>
    <t>NO APLICA PARA EL PROYECTO CONSIDERADO</t>
  </si>
  <si>
    <t>Espesor del suelo en la zona de utilización (parking)</t>
  </si>
  <si>
    <t>Espesor del suelo del CT o de la base del apoyo</t>
  </si>
  <si>
    <t>KP/C-ACC/EXT-AT</t>
  </si>
  <si>
    <t>Coeficiente de paso acceso y de contacto exterior</t>
  </si>
  <si>
    <t>KP-INT/EXT-AT</t>
  </si>
  <si>
    <t>Resultado de [ρT x ID x KP-EXT-AT]</t>
  </si>
  <si>
    <t>KP.EXT/INT</t>
  </si>
  <si>
    <t>FACTOR KP.EXT/INT</t>
  </si>
  <si>
    <t>Coeficiente de paso interior/exterior</t>
  </si>
  <si>
    <t>Condición mínima 1: tensiones producidas menores sus valores máximos admisibles</t>
  </si>
  <si>
    <t>Condición opcional 1 (método UNESA): para unir las PAT de AT y neutro → UD&lt;1 [kV]</t>
  </si>
  <si>
    <t>Condición opcional 2 (P. 11 ITC-BT-18): para unir las PAT de AT y BT → UD&lt;1 [kV] &amp; UD&lt;UC-INT-MAX</t>
  </si>
  <si>
    <r>
      <t>Condición adicional para unir PAT de BT y neutro (esquema TN): RT-BT≤2 [</t>
    </r>
    <r>
      <rPr>
        <sz val="11"/>
        <color theme="1"/>
        <rFont val="Calibri"/>
        <family val="2"/>
      </rPr>
      <t>Ω]</t>
    </r>
  </si>
  <si>
    <t>Condición mínima a cumplir: RT-BT&lt;RT-BT-MAX</t>
  </si>
  <si>
    <r>
      <t>Condición opcional 3 (P.2 ITC-BT-8): para unir las tres PAT → UD&lt;1 [kV], UD&lt;UC-INT-MAX &amp; RT-AT≤2 [</t>
    </r>
    <r>
      <rPr>
        <sz val="11"/>
        <color theme="1"/>
        <rFont val="Calibri"/>
        <family val="2"/>
      </rPr>
      <t>Ω</t>
    </r>
    <r>
      <rPr>
        <sz val="11"/>
        <color theme="1"/>
        <rFont val="Abadi"/>
        <family val="2"/>
      </rPr>
      <t>]</t>
    </r>
  </si>
  <si>
    <t>Condición mínima a cumplir: RT-N&lt;RT-N-MAX</t>
  </si>
  <si>
    <t>Se considera nula por el uso de elementos estructurales aislantes (pavimento, muro) y al aislamiento de las partes metálicas de AT que dan al exterior</t>
  </si>
  <si>
    <t>Dado que la tensión de defecto (UD) es mayor a 1 [kV], es necesario adquirir un armario con un aislamiento de al menos 3 [kV] (valor normalizado inmediatamente superior a UD), el resto de parámetros cumplen los límites normativos por lo que no se tomarán más medidas correctivas. A continuación, a modo informativo, se resumen los valores de resistencia a tener en cuenta para poder unificar las distintas puestas a tierra.</t>
  </si>
  <si>
    <t>Es equivalente a UD por la presencia del mallazo equipotencial en el suelo del acceso</t>
  </si>
  <si>
    <t>Valor máximo de RT-AT para poder unificar la PAT de herrajes (AT) y servicio (neutro)</t>
  </si>
  <si>
    <t>Valor máximo de RT-AT para poder unificar la PAT de herrajes (AT) y de utilización (BT)</t>
  </si>
  <si>
    <t>Valor máximo de RT-AT para poder unificar las PAT de herrajes (AT), servicio (neutro) y utilización (BT)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</si>
</sst>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0.0"/>
    <numFmt numFmtId="166" formatCode="0.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Abadi"/>
      <family val="2"/>
    </font>
    <font>
      <sz val="11"/>
      <color theme="1"/>
      <name val="Calibri"/>
      <family val="2"/>
    </font>
    <font>
      <sz val="8"/>
      <name val="Calibri"/>
      <family val="2"/>
      <scheme val="minor"/>
    </font>
    <font>
      <sz val="10"/>
      <color theme="1"/>
      <name val="Abadi"/>
      <family val="2"/>
    </font>
    <font>
      <sz val="10"/>
      <color theme="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2" fontId="1" fillId="4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2" fontId="4" fillId="2" borderId="8" xfId="0" applyNumberFormat="1" applyFont="1" applyFill="1" applyBorder="1" applyAlignment="1">
      <alignment horizontal="center" vertical="center"/>
    </xf>
    <xf numFmtId="2" fontId="4" fillId="4" borderId="7" xfId="0" applyNumberFormat="1" applyFont="1" applyFill="1" applyBorder="1" applyAlignment="1">
      <alignment horizontal="center" vertical="center"/>
    </xf>
    <xf numFmtId="2" fontId="4" fillId="2" borderId="7" xfId="0" applyNumberFormat="1" applyFont="1" applyFill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vertical="center"/>
    </xf>
    <xf numFmtId="2" fontId="4" fillId="4" borderId="8" xfId="0" applyNumberFormat="1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2" fontId="4" fillId="5" borderId="1" xfId="0" applyNumberFormat="1" applyFont="1" applyFill="1" applyBorder="1" applyAlignment="1">
      <alignment horizontal="center" vertical="center"/>
    </xf>
    <xf numFmtId="2" fontId="4" fillId="5" borderId="8" xfId="0" applyNumberFormat="1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/>
    </xf>
    <xf numFmtId="2" fontId="4" fillId="4" borderId="6" xfId="0" applyNumberFormat="1" applyFont="1" applyFill="1" applyBorder="1" applyAlignment="1">
      <alignment horizontal="center" vertical="center"/>
    </xf>
    <xf numFmtId="2" fontId="4" fillId="2" borderId="6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166" fontId="4" fillId="2" borderId="1" xfId="0" applyNumberFormat="1" applyFont="1" applyFill="1" applyBorder="1" applyAlignment="1">
      <alignment horizontal="center" vertical="center"/>
    </xf>
    <xf numFmtId="2" fontId="1" fillId="4" borderId="7" xfId="0" applyNumberFormat="1" applyFont="1" applyFill="1" applyBorder="1" applyAlignment="1">
      <alignment horizontal="center" vertical="center"/>
    </xf>
    <xf numFmtId="166" fontId="4" fillId="4" borderId="1" xfId="0" applyNumberFormat="1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7" borderId="7" xfId="0" applyFont="1" applyFill="1" applyBorder="1" applyAlignment="1">
      <alignment horizontal="center" vertical="center"/>
    </xf>
    <xf numFmtId="0" fontId="4" fillId="7" borderId="8" xfId="0" applyFont="1" applyFill="1" applyBorder="1" applyAlignment="1">
      <alignment horizontal="center" vertical="center"/>
    </xf>
    <xf numFmtId="165" fontId="4" fillId="2" borderId="1" xfId="0" applyNumberFormat="1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/>
    </xf>
    <xf numFmtId="2" fontId="4" fillId="8" borderId="1" xfId="0" applyNumberFormat="1" applyFont="1" applyFill="1" applyBorder="1" applyAlignment="1">
      <alignment horizontal="center" vertical="center"/>
    </xf>
    <xf numFmtId="1" fontId="4" fillId="4" borderId="1" xfId="0" applyNumberFormat="1" applyFont="1" applyFill="1" applyBorder="1" applyAlignment="1">
      <alignment horizontal="center" vertical="center"/>
    </xf>
    <xf numFmtId="49" fontId="4" fillId="2" borderId="7" xfId="0" applyNumberFormat="1" applyFont="1" applyFill="1" applyBorder="1" applyAlignment="1">
      <alignment horizontal="center" vertical="center"/>
    </xf>
    <xf numFmtId="164" fontId="4" fillId="2" borderId="7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right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9" xfId="0" applyNumberFormat="1" applyFont="1" applyFill="1" applyBorder="1" applyAlignment="1">
      <alignment horizontal="center" vertical="center"/>
    </xf>
    <xf numFmtId="164" fontId="4" fillId="2" borderId="9" xfId="0" applyNumberFormat="1" applyFont="1" applyFill="1" applyBorder="1" applyAlignment="1">
      <alignment horizontal="center" vertical="center"/>
    </xf>
    <xf numFmtId="2" fontId="4" fillId="2" borderId="9" xfId="0" applyNumberFormat="1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right" vertical="center"/>
    </xf>
    <xf numFmtId="0" fontId="4" fillId="6" borderId="1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justify" vertical="center"/>
    </xf>
    <xf numFmtId="0" fontId="4" fillId="2" borderId="8" xfId="0" applyFont="1" applyFill="1" applyBorder="1" applyAlignment="1">
      <alignment horizontal="justify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1" fillId="3" borderId="18" xfId="0" applyFont="1" applyFill="1" applyBorder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9AAF2-946A-4343-8049-0C08E8ACF03C}">
  <sheetPr>
    <tabColor rgb="FFFFFF00"/>
    <pageSetUpPr fitToPage="1"/>
  </sheetPr>
  <dimension ref="A1:BB96"/>
  <sheetViews>
    <sheetView tabSelected="1" topLeftCell="A73" zoomScale="110" zoomScaleNormal="110" zoomScaleSheetLayoutView="110" workbookViewId="0">
      <selection activeCell="A97" sqref="A97"/>
    </sheetView>
  </sheetViews>
  <sheetFormatPr baseColWidth="10" defaultColWidth="8.88671875" defaultRowHeight="14.4" x14ac:dyDescent="0.3"/>
  <cols>
    <col min="1" max="1" width="15.77734375" style="1" customWidth="1"/>
    <col min="2" max="2" width="53.5546875" style="1" customWidth="1"/>
    <col min="3" max="4" width="13.88671875" style="1" customWidth="1"/>
    <col min="5" max="5" width="44.44140625" style="1" customWidth="1"/>
    <col min="6" max="54" width="20.77734375" style="1" customWidth="1"/>
  </cols>
  <sheetData>
    <row r="1" spans="1:5" x14ac:dyDescent="0.3">
      <c r="A1" s="60" t="s">
        <v>173</v>
      </c>
      <c r="B1" s="60"/>
      <c r="C1" s="60"/>
      <c r="D1" s="60"/>
      <c r="E1" s="60"/>
    </row>
    <row r="2" spans="1:5" x14ac:dyDescent="0.3">
      <c r="A2" s="60" t="s">
        <v>112</v>
      </c>
      <c r="B2" s="60"/>
      <c r="C2" s="60"/>
      <c r="D2" s="60"/>
      <c r="E2" s="3"/>
    </row>
    <row r="3" spans="1:5" x14ac:dyDescent="0.3">
      <c r="A3" s="60" t="s">
        <v>93</v>
      </c>
      <c r="B3" s="60"/>
      <c r="C3" s="60"/>
      <c r="D3" s="60"/>
      <c r="E3" s="5"/>
    </row>
    <row r="4" spans="1:5" x14ac:dyDescent="0.3">
      <c r="A4" s="60" t="s">
        <v>153</v>
      </c>
      <c r="B4" s="60"/>
      <c r="C4" s="60"/>
      <c r="D4" s="60"/>
      <c r="E4" s="41"/>
    </row>
    <row r="5" spans="1:5" x14ac:dyDescent="0.3">
      <c r="A5" s="60" t="s">
        <v>228</v>
      </c>
      <c r="B5" s="60"/>
      <c r="C5" s="60"/>
      <c r="D5" s="60"/>
      <c r="E5" s="32"/>
    </row>
    <row r="6" spans="1:5" x14ac:dyDescent="0.3">
      <c r="A6" s="60" t="s">
        <v>229</v>
      </c>
      <c r="B6" s="60"/>
      <c r="C6" s="60"/>
      <c r="D6" s="60"/>
      <c r="E6" s="42"/>
    </row>
    <row r="7" spans="1:5" x14ac:dyDescent="0.3">
      <c r="A7" s="60" t="s">
        <v>230</v>
      </c>
      <c r="B7" s="60"/>
      <c r="C7" s="60"/>
      <c r="D7" s="60"/>
      <c r="E7" s="6"/>
    </row>
    <row r="9" spans="1:5" x14ac:dyDescent="0.3">
      <c r="A9" s="71" t="s">
        <v>111</v>
      </c>
      <c r="B9" s="72"/>
      <c r="C9" s="72"/>
      <c r="D9" s="72"/>
      <c r="E9" s="73"/>
    </row>
    <row r="10" spans="1:5" x14ac:dyDescent="0.3">
      <c r="A10" s="2" t="s">
        <v>9</v>
      </c>
      <c r="B10" s="2" t="s">
        <v>6</v>
      </c>
      <c r="C10" s="2" t="s">
        <v>10</v>
      </c>
      <c r="D10" s="2" t="s">
        <v>82</v>
      </c>
      <c r="E10" s="2" t="s">
        <v>146</v>
      </c>
    </row>
    <row r="11" spans="1:5" x14ac:dyDescent="0.3">
      <c r="A11" s="7" t="s">
        <v>66</v>
      </c>
      <c r="B11" s="10" t="s">
        <v>168</v>
      </c>
      <c r="C11" s="10" t="s">
        <v>33</v>
      </c>
      <c r="D11" s="10" t="s">
        <v>83</v>
      </c>
      <c r="E11" s="11" t="s">
        <v>171</v>
      </c>
    </row>
    <row r="12" spans="1:5" x14ac:dyDescent="0.3">
      <c r="A12" s="2" t="s">
        <v>27</v>
      </c>
      <c r="B12" s="12" t="s">
        <v>26</v>
      </c>
      <c r="C12" s="13">
        <v>213.17</v>
      </c>
      <c r="D12" s="12" t="s">
        <v>84</v>
      </c>
      <c r="E12" s="12" t="s">
        <v>169</v>
      </c>
    </row>
    <row r="13" spans="1:5" ht="15" thickBot="1" x14ac:dyDescent="0.35">
      <c r="A13" s="8" t="s">
        <v>1</v>
      </c>
      <c r="B13" s="14" t="s">
        <v>7</v>
      </c>
      <c r="C13" s="15">
        <v>0.7</v>
      </c>
      <c r="D13" s="15" t="s">
        <v>85</v>
      </c>
      <c r="E13" s="14" t="s">
        <v>169</v>
      </c>
    </row>
    <row r="14" spans="1:5" x14ac:dyDescent="0.3">
      <c r="A14" s="7" t="s">
        <v>2</v>
      </c>
      <c r="B14" s="10" t="s">
        <v>8</v>
      </c>
      <c r="C14" s="16">
        <f>INDEX(REF!A3:B15,MATCH(C13-0.001,REF!A3:A15,1)+1,2)</f>
        <v>150</v>
      </c>
      <c r="D14" s="10" t="s">
        <v>86</v>
      </c>
      <c r="E14" s="10" t="s">
        <v>227</v>
      </c>
    </row>
    <row r="15" spans="1:5" x14ac:dyDescent="0.3">
      <c r="A15" s="2" t="s">
        <v>0</v>
      </c>
      <c r="B15" s="12" t="s">
        <v>11</v>
      </c>
      <c r="C15" s="13">
        <v>2000</v>
      </c>
      <c r="D15" s="12" t="s">
        <v>109</v>
      </c>
      <c r="E15" s="12" t="s">
        <v>140</v>
      </c>
    </row>
    <row r="16" spans="1:5" ht="15" thickBot="1" x14ac:dyDescent="0.35">
      <c r="A16" s="8" t="s">
        <v>3</v>
      </c>
      <c r="B16" s="14" t="s">
        <v>12</v>
      </c>
      <c r="C16" s="15">
        <v>250</v>
      </c>
      <c r="D16" s="14" t="s">
        <v>110</v>
      </c>
      <c r="E16" s="14" t="s">
        <v>170</v>
      </c>
    </row>
    <row r="17" spans="1:5" x14ac:dyDescent="0.3">
      <c r="A17" s="7" t="s">
        <v>174</v>
      </c>
      <c r="B17" s="10" t="s">
        <v>182</v>
      </c>
      <c r="C17" s="17">
        <v>0.5</v>
      </c>
      <c r="D17" s="17" t="s">
        <v>87</v>
      </c>
      <c r="E17" s="10" t="s">
        <v>232</v>
      </c>
    </row>
    <row r="18" spans="1:5" x14ac:dyDescent="0.3">
      <c r="A18" s="2" t="s">
        <v>175</v>
      </c>
      <c r="B18" s="12" t="s">
        <v>183</v>
      </c>
      <c r="C18" s="13">
        <v>3000</v>
      </c>
      <c r="D18" s="12" t="s">
        <v>88</v>
      </c>
      <c r="E18" s="12" t="s">
        <v>147</v>
      </c>
    </row>
    <row r="19" spans="1:5" x14ac:dyDescent="0.3">
      <c r="A19" s="2" t="s">
        <v>176</v>
      </c>
      <c r="B19" s="12" t="s">
        <v>184</v>
      </c>
      <c r="C19" s="40">
        <f>ROUND(1-0.106*((1-C16/C18)/(2*C17+0.106)),3)</f>
        <v>0.91200000000000003</v>
      </c>
      <c r="D19" s="13" t="s">
        <v>89</v>
      </c>
      <c r="E19" s="12" t="s">
        <v>74</v>
      </c>
    </row>
    <row r="20" spans="1:5" ht="15" thickBot="1" x14ac:dyDescent="0.35">
      <c r="A20" s="8" t="s">
        <v>177</v>
      </c>
      <c r="B20" s="14" t="s">
        <v>185</v>
      </c>
      <c r="C20" s="19">
        <f>C19*C18</f>
        <v>2736</v>
      </c>
      <c r="D20" s="15" t="s">
        <v>88</v>
      </c>
      <c r="E20" s="14" t="s">
        <v>196</v>
      </c>
    </row>
    <row r="21" spans="1:5" x14ac:dyDescent="0.3">
      <c r="A21" s="7" t="s">
        <v>178</v>
      </c>
      <c r="B21" s="10" t="s">
        <v>186</v>
      </c>
      <c r="C21" s="17">
        <v>0.05</v>
      </c>
      <c r="D21" s="17" t="s">
        <v>87</v>
      </c>
      <c r="E21" s="10" t="s">
        <v>231</v>
      </c>
    </row>
    <row r="22" spans="1:5" x14ac:dyDescent="0.3">
      <c r="A22" s="2" t="s">
        <v>179</v>
      </c>
      <c r="B22" s="12" t="s">
        <v>187</v>
      </c>
      <c r="C22" s="13">
        <v>10000</v>
      </c>
      <c r="D22" s="12" t="s">
        <v>88</v>
      </c>
      <c r="E22" s="12" t="s">
        <v>200</v>
      </c>
    </row>
    <row r="23" spans="1:5" x14ac:dyDescent="0.3">
      <c r="A23" s="2" t="s">
        <v>180</v>
      </c>
      <c r="B23" s="12" t="s">
        <v>188</v>
      </c>
      <c r="C23" s="40">
        <f>ROUND(1-0.106*((1-C16/C22)/(2*C21+0.106)),3)</f>
        <v>0.498</v>
      </c>
      <c r="D23" s="13" t="s">
        <v>89</v>
      </c>
      <c r="E23" s="12" t="s">
        <v>74</v>
      </c>
    </row>
    <row r="24" spans="1:5" ht="15" thickBot="1" x14ac:dyDescent="0.35">
      <c r="A24" s="8" t="s">
        <v>181</v>
      </c>
      <c r="B24" s="14" t="s">
        <v>189</v>
      </c>
      <c r="C24" s="19">
        <f>C23*C22</f>
        <v>4980</v>
      </c>
      <c r="D24" s="15" t="s">
        <v>88</v>
      </c>
      <c r="E24" s="14" t="s">
        <v>204</v>
      </c>
    </row>
    <row r="25" spans="1:5" x14ac:dyDescent="0.3">
      <c r="A25" s="7" t="s">
        <v>193</v>
      </c>
      <c r="B25" s="10" t="s">
        <v>190</v>
      </c>
      <c r="C25" s="16">
        <f>ROUND(C14*(1+(C15/2+1.5*C20)/1000),2)</f>
        <v>915.6</v>
      </c>
      <c r="D25" s="17" t="s">
        <v>86</v>
      </c>
      <c r="E25" s="76" t="s">
        <v>75</v>
      </c>
    </row>
    <row r="26" spans="1:5" x14ac:dyDescent="0.3">
      <c r="A26" s="7" t="s">
        <v>194</v>
      </c>
      <c r="B26" s="11" t="s">
        <v>195</v>
      </c>
      <c r="C26" s="35">
        <f>ROUND(C14*(1+(C15/2+1.5*C24)/1000),2)</f>
        <v>1420.5</v>
      </c>
      <c r="D26" s="36" t="s">
        <v>86</v>
      </c>
      <c r="E26" s="74"/>
    </row>
    <row r="27" spans="1:5" ht="15" thickBot="1" x14ac:dyDescent="0.35">
      <c r="A27" s="8" t="s">
        <v>71</v>
      </c>
      <c r="B27" s="14" t="s">
        <v>166</v>
      </c>
      <c r="C27" s="19">
        <f>ROUND(C14*(1+(C15/2+1.5*C16)/1000),2)</f>
        <v>356.25</v>
      </c>
      <c r="D27" s="15" t="s">
        <v>86</v>
      </c>
      <c r="E27" s="77"/>
    </row>
    <row r="28" spans="1:5" x14ac:dyDescent="0.3">
      <c r="A28" s="7" t="s">
        <v>197</v>
      </c>
      <c r="B28" s="10" t="s">
        <v>191</v>
      </c>
      <c r="C28" s="16">
        <f>ROUND(10*C14*(1+(2*C15+6*C20)/1000),2)</f>
        <v>32124</v>
      </c>
      <c r="D28" s="17" t="s">
        <v>86</v>
      </c>
      <c r="E28" s="74" t="s">
        <v>76</v>
      </c>
    </row>
    <row r="29" spans="1:5" x14ac:dyDescent="0.3">
      <c r="A29" s="7" t="s">
        <v>199</v>
      </c>
      <c r="B29" s="10" t="s">
        <v>198</v>
      </c>
      <c r="C29" s="16">
        <f>ROUND(10*C14*(1+(2*C15+6*C24)/1000),2)</f>
        <v>52320</v>
      </c>
      <c r="D29" s="17" t="s">
        <v>86</v>
      </c>
      <c r="E29" s="74"/>
    </row>
    <row r="30" spans="1:5" x14ac:dyDescent="0.3">
      <c r="A30" s="2" t="s">
        <v>72</v>
      </c>
      <c r="B30" s="12" t="s">
        <v>167</v>
      </c>
      <c r="C30" s="18">
        <f>ROUND(10*C14*(1+(2*C15+6*C16)/1000),2)</f>
        <v>9750</v>
      </c>
      <c r="D30" s="13" t="s">
        <v>86</v>
      </c>
      <c r="E30" s="74"/>
    </row>
    <row r="31" spans="1:5" x14ac:dyDescent="0.3">
      <c r="A31" s="2" t="s">
        <v>201</v>
      </c>
      <c r="B31" s="12" t="s">
        <v>192</v>
      </c>
      <c r="C31" s="18">
        <f>ROUND(10*C14*(1+(2*C15+3*C16+3*C20)/1000),2)</f>
        <v>20937</v>
      </c>
      <c r="D31" s="13" t="s">
        <v>86</v>
      </c>
      <c r="E31" s="74"/>
    </row>
    <row r="32" spans="1:5" x14ac:dyDescent="0.3">
      <c r="A32" s="2" t="s">
        <v>202</v>
      </c>
      <c r="B32" s="12" t="s">
        <v>203</v>
      </c>
      <c r="C32" s="18">
        <f>ROUND(10*C14*(1+(2*C15+3*C16+3*C24)/1000),2)</f>
        <v>31035</v>
      </c>
      <c r="D32" s="13" t="s">
        <v>86</v>
      </c>
      <c r="E32" s="76"/>
    </row>
    <row r="34" spans="1:5" x14ac:dyDescent="0.3">
      <c r="A34" s="60" t="s">
        <v>162</v>
      </c>
      <c r="B34" s="60"/>
      <c r="C34" s="60"/>
      <c r="D34" s="60"/>
      <c r="E34" s="60"/>
    </row>
    <row r="35" spans="1:5" x14ac:dyDescent="0.3">
      <c r="A35" s="2" t="s">
        <v>9</v>
      </c>
      <c r="B35" s="2" t="s">
        <v>6</v>
      </c>
      <c r="C35" s="2" t="s">
        <v>10</v>
      </c>
      <c r="D35" s="2" t="s">
        <v>82</v>
      </c>
      <c r="E35" s="2" t="s">
        <v>146</v>
      </c>
    </row>
    <row r="36" spans="1:5" x14ac:dyDescent="0.3">
      <c r="A36" s="2" t="s">
        <v>27</v>
      </c>
      <c r="B36" s="12" t="s">
        <v>26</v>
      </c>
      <c r="C36" s="21">
        <f>C12</f>
        <v>213.17</v>
      </c>
      <c r="D36" s="12" t="s">
        <v>84</v>
      </c>
      <c r="E36" s="12" t="s">
        <v>169</v>
      </c>
    </row>
    <row r="37" spans="1:5" ht="26.4" x14ac:dyDescent="0.3">
      <c r="A37" s="2" t="s">
        <v>209</v>
      </c>
      <c r="B37" s="12" t="s">
        <v>163</v>
      </c>
      <c r="C37" s="13">
        <f>ROUND(40*C44/(C44+40)/C44,2)</f>
        <v>0.72</v>
      </c>
      <c r="D37" s="13" t="s">
        <v>89</v>
      </c>
      <c r="E37" s="24" t="s">
        <v>217</v>
      </c>
    </row>
    <row r="38" spans="1:5" x14ac:dyDescent="0.3">
      <c r="A38" s="2" t="s">
        <v>25</v>
      </c>
      <c r="B38" s="12" t="s">
        <v>205</v>
      </c>
      <c r="C38" s="18">
        <f>C37*C36</f>
        <v>153.48239999999998</v>
      </c>
      <c r="D38" s="12" t="s">
        <v>84</v>
      </c>
      <c r="E38" s="12" t="s">
        <v>210</v>
      </c>
    </row>
    <row r="39" spans="1:5" ht="15" thickBot="1" x14ac:dyDescent="0.35">
      <c r="A39" s="8" t="s">
        <v>3</v>
      </c>
      <c r="B39" s="14" t="s">
        <v>12</v>
      </c>
      <c r="C39" s="22">
        <f>C16</f>
        <v>250</v>
      </c>
      <c r="D39" s="14" t="s">
        <v>88</v>
      </c>
      <c r="E39" s="14" t="s">
        <v>5</v>
      </c>
    </row>
    <row r="40" spans="1:5" ht="39.6" x14ac:dyDescent="0.3">
      <c r="A40" s="7" t="s">
        <v>70</v>
      </c>
      <c r="B40" s="10" t="s">
        <v>159</v>
      </c>
      <c r="C40" s="10" t="s">
        <v>41</v>
      </c>
      <c r="D40" s="10" t="s">
        <v>89</v>
      </c>
      <c r="E40" s="29" t="str">
        <f>VLOOKUP(C40,REF!A19:K27,11,FALSE)</f>
        <v>8 · picas cobrizadas de ø14 [mm] x 2 [m] a 0.8 [m] de profundidad dispuestas en anillo de 8x4 [m] y unidas por conductor desnudo de 50 [mm²]</v>
      </c>
    </row>
    <row r="41" spans="1:5" x14ac:dyDescent="0.3">
      <c r="A41" s="2" t="s">
        <v>69</v>
      </c>
      <c r="B41" s="12" t="s">
        <v>55</v>
      </c>
      <c r="C41" s="25">
        <f>VLOOKUP(C40,REF!A19:E27,3,FALSE)</f>
        <v>6.3E-2</v>
      </c>
      <c r="D41" s="26" t="s">
        <v>91</v>
      </c>
      <c r="E41" s="78" t="s">
        <v>59</v>
      </c>
    </row>
    <row r="42" spans="1:5" x14ac:dyDescent="0.3">
      <c r="A42" s="2" t="s">
        <v>235</v>
      </c>
      <c r="B42" s="12" t="s">
        <v>239</v>
      </c>
      <c r="C42" s="25">
        <f>VLOOKUP(C40,REF!A19:E27,4,FALSE)</f>
        <v>9.4999999999999998E-3</v>
      </c>
      <c r="D42" s="26" t="s">
        <v>92</v>
      </c>
      <c r="E42" s="78"/>
    </row>
    <row r="43" spans="1:5" x14ac:dyDescent="0.3">
      <c r="A43" s="2" t="s">
        <v>233</v>
      </c>
      <c r="B43" s="12" t="s">
        <v>234</v>
      </c>
      <c r="C43" s="25">
        <f>VLOOKUP(C40,REF!A19:E27,5,FALSE)</f>
        <v>2.7699999999999999E-2</v>
      </c>
      <c r="D43" s="26" t="s">
        <v>92</v>
      </c>
      <c r="E43" s="78"/>
    </row>
    <row r="44" spans="1:5" ht="15" thickBot="1" x14ac:dyDescent="0.35">
      <c r="A44" s="9" t="s">
        <v>28</v>
      </c>
      <c r="B44" s="20" t="s">
        <v>56</v>
      </c>
      <c r="C44" s="34">
        <f>C39*C41</f>
        <v>15.75</v>
      </c>
      <c r="D44" s="20" t="s">
        <v>90</v>
      </c>
      <c r="E44" s="20" t="s">
        <v>79</v>
      </c>
    </row>
    <row r="45" spans="1:5" x14ac:dyDescent="0.3">
      <c r="A45" s="7" t="s">
        <v>35</v>
      </c>
      <c r="B45" s="10" t="s">
        <v>130</v>
      </c>
      <c r="C45" s="27">
        <f>VLOOKUP(C11,REF!D3:E4,2,FALSE)</f>
        <v>1200</v>
      </c>
      <c r="D45" s="10" t="s">
        <v>86</v>
      </c>
      <c r="E45" s="74" t="s">
        <v>77</v>
      </c>
    </row>
    <row r="46" spans="1:5" ht="15" thickBot="1" x14ac:dyDescent="0.35">
      <c r="A46" s="8" t="s">
        <v>30</v>
      </c>
      <c r="B46" s="14" t="s">
        <v>152</v>
      </c>
      <c r="C46" s="19">
        <f>IF(C39&lt;100,15,C39*C38/2/PI()/C45)</f>
        <v>5.0890588828348999</v>
      </c>
      <c r="D46" s="15" t="s">
        <v>87</v>
      </c>
      <c r="E46" s="75"/>
    </row>
    <row r="47" spans="1:5" x14ac:dyDescent="0.3">
      <c r="A47" s="2" t="s">
        <v>148</v>
      </c>
      <c r="B47" s="12" t="s">
        <v>143</v>
      </c>
      <c r="C47" s="18">
        <f>C38/50</f>
        <v>3.0696479999999995</v>
      </c>
      <c r="D47" s="12" t="s">
        <v>89</v>
      </c>
      <c r="E47" s="12" t="s">
        <v>172</v>
      </c>
    </row>
    <row r="48" spans="1:5" x14ac:dyDescent="0.3">
      <c r="A48" s="7" t="s">
        <v>150</v>
      </c>
      <c r="B48" s="10" t="s">
        <v>144</v>
      </c>
      <c r="C48" s="10" t="s">
        <v>138</v>
      </c>
      <c r="D48" s="10" t="s">
        <v>89</v>
      </c>
      <c r="E48" s="10" t="s">
        <v>139</v>
      </c>
    </row>
    <row r="49" spans="1:5" x14ac:dyDescent="0.3">
      <c r="A49" s="2" t="s">
        <v>149</v>
      </c>
      <c r="B49" s="12" t="s">
        <v>145</v>
      </c>
      <c r="C49" s="28">
        <f>VLOOKUP(C48,REF!J3:K5,2,FALSE)</f>
        <v>160</v>
      </c>
      <c r="D49" s="12" t="s">
        <v>89</v>
      </c>
      <c r="E49" s="12" t="s">
        <v>151</v>
      </c>
    </row>
    <row r="51" spans="1:5" x14ac:dyDescent="0.3">
      <c r="A51" s="60" t="s">
        <v>94</v>
      </c>
      <c r="B51" s="60"/>
      <c r="C51" s="60"/>
      <c r="D51" s="60"/>
      <c r="E51" s="60"/>
    </row>
    <row r="52" spans="1:5" x14ac:dyDescent="0.3">
      <c r="A52" s="2" t="s">
        <v>9</v>
      </c>
      <c r="B52" s="2" t="s">
        <v>6</v>
      </c>
      <c r="C52" s="2" t="s">
        <v>10</v>
      </c>
      <c r="D52" s="2" t="s">
        <v>82</v>
      </c>
      <c r="E52" s="2" t="s">
        <v>146</v>
      </c>
    </row>
    <row r="53" spans="1:5" ht="15" thickBot="1" x14ac:dyDescent="0.35">
      <c r="A53" s="8" t="s">
        <v>20</v>
      </c>
      <c r="B53" s="14" t="s">
        <v>21</v>
      </c>
      <c r="C53" s="14">
        <v>1000</v>
      </c>
      <c r="D53" s="14" t="s">
        <v>86</v>
      </c>
      <c r="E53" s="14" t="s">
        <v>64</v>
      </c>
    </row>
    <row r="54" spans="1:5" x14ac:dyDescent="0.3">
      <c r="A54" s="7" t="s">
        <v>13</v>
      </c>
      <c r="B54" s="10" t="s">
        <v>19</v>
      </c>
      <c r="C54" s="16">
        <f>C38*C44</f>
        <v>2417.3477999999996</v>
      </c>
      <c r="D54" s="17" t="s">
        <v>86</v>
      </c>
      <c r="E54" s="10" t="s">
        <v>141</v>
      </c>
    </row>
    <row r="55" spans="1:5" x14ac:dyDescent="0.3">
      <c r="A55" s="2" t="s">
        <v>14</v>
      </c>
      <c r="B55" s="12" t="s">
        <v>154</v>
      </c>
      <c r="C55" s="13">
        <v>0</v>
      </c>
      <c r="D55" s="13" t="s">
        <v>86</v>
      </c>
      <c r="E55" s="64" t="s">
        <v>113</v>
      </c>
    </row>
    <row r="56" spans="1:5" ht="15" thickBot="1" x14ac:dyDescent="0.35">
      <c r="A56" s="8" t="s">
        <v>15</v>
      </c>
      <c r="B56" s="14" t="s">
        <v>155</v>
      </c>
      <c r="C56" s="15">
        <v>0</v>
      </c>
      <c r="D56" s="15" t="s">
        <v>86</v>
      </c>
      <c r="E56" s="65"/>
    </row>
    <row r="57" spans="1:5" ht="52.8" x14ac:dyDescent="0.3">
      <c r="A57" s="7" t="s">
        <v>16</v>
      </c>
      <c r="B57" s="10" t="s">
        <v>156</v>
      </c>
      <c r="C57" s="17">
        <v>0</v>
      </c>
      <c r="D57" s="17" t="s">
        <v>86</v>
      </c>
      <c r="E57" s="29" t="s">
        <v>247</v>
      </c>
    </row>
    <row r="58" spans="1:5" x14ac:dyDescent="0.3">
      <c r="A58" s="2" t="s">
        <v>17</v>
      </c>
      <c r="B58" s="12" t="s">
        <v>157</v>
      </c>
      <c r="C58" s="18">
        <f>C38*C39*C42</f>
        <v>364.52069999999998</v>
      </c>
      <c r="D58" s="13" t="s">
        <v>86</v>
      </c>
      <c r="E58" s="12" t="s">
        <v>236</v>
      </c>
    </row>
    <row r="59" spans="1:5" ht="27" thickBot="1" x14ac:dyDescent="0.35">
      <c r="A59" s="8" t="s">
        <v>18</v>
      </c>
      <c r="B59" s="14" t="s">
        <v>158</v>
      </c>
      <c r="C59" s="19">
        <f>C54</f>
        <v>2417.3477999999996</v>
      </c>
      <c r="D59" s="15" t="s">
        <v>86</v>
      </c>
      <c r="E59" s="33" t="s">
        <v>249</v>
      </c>
    </row>
    <row r="60" spans="1:5" x14ac:dyDescent="0.3">
      <c r="A60" s="66" t="s">
        <v>240</v>
      </c>
      <c r="B60" s="67"/>
      <c r="C60" s="67"/>
      <c r="D60" s="68"/>
      <c r="E60" s="43" t="str">
        <f>IF(AND(C58&lt;C30,C59&lt;MIN(C32,C31)),"Cumple ☑", "No cumple ☒")</f>
        <v>Cumple ☑</v>
      </c>
    </row>
    <row r="61" spans="1:5" x14ac:dyDescent="0.3">
      <c r="A61" s="60" t="s">
        <v>116</v>
      </c>
      <c r="B61" s="60"/>
      <c r="C61" s="60"/>
      <c r="D61" s="60"/>
      <c r="E61" s="43" t="str">
        <f>IF(C54&lt;C53,"Cumple ☑", "No cumple ☒")</f>
        <v>No cumple ☒</v>
      </c>
    </row>
    <row r="62" spans="1:5" ht="15" thickBot="1" x14ac:dyDescent="0.35">
      <c r="A62" s="61" t="s">
        <v>142</v>
      </c>
      <c r="B62" s="62"/>
      <c r="C62" s="62"/>
      <c r="D62" s="63"/>
      <c r="E62" s="45" t="str">
        <f>IF(C47&lt;C49,"Cumple ☑", "No cumple ☒")</f>
        <v>Cumple ☑</v>
      </c>
    </row>
    <row r="63" spans="1:5" x14ac:dyDescent="0.3">
      <c r="A63" s="79" t="s">
        <v>241</v>
      </c>
      <c r="B63" s="80"/>
      <c r="C63" s="80"/>
      <c r="D63" s="81"/>
      <c r="E63" s="44" t="str">
        <f>IF(C54&lt;1000,"Cumple ☑", "No cumple ☒")</f>
        <v>No cumple ☒</v>
      </c>
    </row>
    <row r="64" spans="1:5" x14ac:dyDescent="0.3">
      <c r="A64" s="71" t="s">
        <v>242</v>
      </c>
      <c r="B64" s="72"/>
      <c r="C64" s="72"/>
      <c r="D64" s="73"/>
      <c r="E64" s="43" t="str">
        <f>IF(AND(C54&lt;1000,C54&lt;MIN(C25,C26)),"Cumple ☑", "No cumple ☒")</f>
        <v>No cumple ☒</v>
      </c>
    </row>
    <row r="65" spans="1:5" x14ac:dyDescent="0.3">
      <c r="A65" s="71" t="s">
        <v>245</v>
      </c>
      <c r="B65" s="72"/>
      <c r="C65" s="72"/>
      <c r="D65" s="73"/>
      <c r="E65" s="43" t="str">
        <f>IF(AND(C54&lt;1000,C54&lt;MIN(C25,C26),C44&lt;=2),"Cumple ☑", "No cumple ☒")</f>
        <v>No cumple ☒</v>
      </c>
    </row>
    <row r="67" spans="1:5" x14ac:dyDescent="0.3">
      <c r="A67" s="60" t="s">
        <v>95</v>
      </c>
      <c r="B67" s="60"/>
      <c r="C67" s="60"/>
      <c r="D67" s="60"/>
      <c r="E67" s="60"/>
    </row>
    <row r="68" spans="1:5" x14ac:dyDescent="0.3">
      <c r="A68" s="2" t="s">
        <v>9</v>
      </c>
      <c r="B68" s="2" t="s">
        <v>6</v>
      </c>
      <c r="C68" s="2" t="s">
        <v>10</v>
      </c>
      <c r="D68" s="2" t="s">
        <v>82</v>
      </c>
      <c r="E68" s="2" t="s">
        <v>146</v>
      </c>
    </row>
    <row r="69" spans="1:5" x14ac:dyDescent="0.3">
      <c r="A69" s="2" t="s">
        <v>31</v>
      </c>
      <c r="B69" s="12" t="s">
        <v>216</v>
      </c>
      <c r="C69" s="12">
        <v>24</v>
      </c>
      <c r="D69" s="12" t="s">
        <v>86</v>
      </c>
      <c r="E69" s="12" t="s">
        <v>34</v>
      </c>
    </row>
    <row r="70" spans="1:5" ht="26.4" x14ac:dyDescent="0.3">
      <c r="A70" s="2" t="s">
        <v>114</v>
      </c>
      <c r="B70" s="12" t="s">
        <v>73</v>
      </c>
      <c r="C70" s="38">
        <v>0.65</v>
      </c>
      <c r="D70" s="12" t="s">
        <v>84</v>
      </c>
      <c r="E70" s="24" t="s">
        <v>226</v>
      </c>
    </row>
    <row r="71" spans="1:5" x14ac:dyDescent="0.3">
      <c r="A71" s="2" t="s">
        <v>3</v>
      </c>
      <c r="B71" s="12" t="s">
        <v>12</v>
      </c>
      <c r="C71" s="30">
        <f>C16</f>
        <v>250</v>
      </c>
      <c r="D71" s="12" t="s">
        <v>88</v>
      </c>
      <c r="E71" s="12" t="s">
        <v>5</v>
      </c>
    </row>
    <row r="72" spans="1:5" ht="27" thickBot="1" x14ac:dyDescent="0.35">
      <c r="A72" s="8" t="s">
        <v>61</v>
      </c>
      <c r="B72" s="14" t="s">
        <v>60</v>
      </c>
      <c r="C72" s="19">
        <f>ROUND(C69/C70,2)</f>
        <v>36.92</v>
      </c>
      <c r="D72" s="15" t="s">
        <v>90</v>
      </c>
      <c r="E72" s="33" t="s">
        <v>164</v>
      </c>
    </row>
    <row r="73" spans="1:5" ht="26.4" x14ac:dyDescent="0.3">
      <c r="A73" s="7" t="s">
        <v>65</v>
      </c>
      <c r="B73" s="10" t="s">
        <v>160</v>
      </c>
      <c r="C73" s="10" t="s">
        <v>45</v>
      </c>
      <c r="D73" s="10" t="s">
        <v>89</v>
      </c>
      <c r="E73" s="29" t="str">
        <f>VLOOKUP(C73,REF!A30:K40,11,FALSE)</f>
        <v>3 · picas cobrizadas de ø14 [mm] x 2 [m] a 0.5 [m] de profundidad dispuestas en hilera</v>
      </c>
    </row>
    <row r="74" spans="1:5" x14ac:dyDescent="0.3">
      <c r="A74" s="2" t="s">
        <v>63</v>
      </c>
      <c r="B74" s="12" t="s">
        <v>55</v>
      </c>
      <c r="C74" s="28">
        <f>VLOOKUP(C73,REF!A30:E40,3,FALSE)</f>
        <v>0.13500000000000001</v>
      </c>
      <c r="D74" s="12" t="s">
        <v>91</v>
      </c>
      <c r="E74" s="23" t="s">
        <v>59</v>
      </c>
    </row>
    <row r="75" spans="1:5" ht="15" thickBot="1" x14ac:dyDescent="0.35">
      <c r="A75" s="8" t="s">
        <v>29</v>
      </c>
      <c r="B75" s="14" t="s">
        <v>62</v>
      </c>
      <c r="C75" s="31">
        <f>C74*C71</f>
        <v>33.75</v>
      </c>
      <c r="D75" s="14" t="s">
        <v>90</v>
      </c>
      <c r="E75" s="14" t="s">
        <v>132</v>
      </c>
    </row>
    <row r="76" spans="1:5" x14ac:dyDescent="0.3">
      <c r="A76" s="79" t="s">
        <v>246</v>
      </c>
      <c r="B76" s="80"/>
      <c r="C76" s="80"/>
      <c r="D76" s="81"/>
      <c r="E76" s="43" t="str">
        <f>IF(C75&lt;C72,"Cumple ☑", "No cumple ☒")</f>
        <v>Cumple ☑</v>
      </c>
    </row>
    <row r="78" spans="1:5" x14ac:dyDescent="0.3">
      <c r="A78" s="60" t="s">
        <v>208</v>
      </c>
      <c r="B78" s="60"/>
      <c r="C78" s="60"/>
      <c r="D78" s="60"/>
      <c r="E78" s="60"/>
    </row>
    <row r="79" spans="1:5" x14ac:dyDescent="0.3">
      <c r="A79" s="2" t="s">
        <v>9</v>
      </c>
      <c r="B79" s="2" t="s">
        <v>6</v>
      </c>
      <c r="C79" s="2" t="s">
        <v>10</v>
      </c>
      <c r="D79" s="2" t="s">
        <v>82</v>
      </c>
      <c r="E79" s="2" t="s">
        <v>146</v>
      </c>
    </row>
    <row r="80" spans="1:5" x14ac:dyDescent="0.3">
      <c r="A80" s="2" t="s">
        <v>31</v>
      </c>
      <c r="B80" s="12" t="s">
        <v>216</v>
      </c>
      <c r="C80" s="12">
        <v>24</v>
      </c>
      <c r="D80" s="12" t="s">
        <v>86</v>
      </c>
      <c r="E80" s="12" t="s">
        <v>34</v>
      </c>
    </row>
    <row r="81" spans="1:5" x14ac:dyDescent="0.3">
      <c r="A81" s="2" t="s">
        <v>115</v>
      </c>
      <c r="B81" s="12" t="s">
        <v>36</v>
      </c>
      <c r="C81" s="38">
        <v>0.3</v>
      </c>
      <c r="D81" s="12" t="s">
        <v>84</v>
      </c>
      <c r="E81" s="12" t="s">
        <v>78</v>
      </c>
    </row>
    <row r="82" spans="1:5" x14ac:dyDescent="0.3">
      <c r="A82" s="2" t="s">
        <v>3</v>
      </c>
      <c r="B82" s="12" t="s">
        <v>12</v>
      </c>
      <c r="C82" s="30">
        <f>C16</f>
        <v>250</v>
      </c>
      <c r="D82" s="12" t="s">
        <v>91</v>
      </c>
      <c r="E82" s="12" t="s">
        <v>5</v>
      </c>
    </row>
    <row r="83" spans="1:5" ht="27" thickBot="1" x14ac:dyDescent="0.35">
      <c r="A83" s="8" t="s">
        <v>37</v>
      </c>
      <c r="B83" s="14" t="s">
        <v>117</v>
      </c>
      <c r="C83" s="31">
        <f>C80/C81</f>
        <v>80</v>
      </c>
      <c r="D83" s="14" t="s">
        <v>90</v>
      </c>
      <c r="E83" s="33" t="s">
        <v>165</v>
      </c>
    </row>
    <row r="84" spans="1:5" ht="26.4" x14ac:dyDescent="0.3">
      <c r="A84" s="7" t="s">
        <v>67</v>
      </c>
      <c r="B84" s="10" t="s">
        <v>161</v>
      </c>
      <c r="C84" s="10" t="s">
        <v>44</v>
      </c>
      <c r="D84" s="10" t="s">
        <v>89</v>
      </c>
      <c r="E84" s="29" t="str">
        <f>VLOOKUP(C84,REF!A30:K40,11,FALSE)</f>
        <v>2 · picas cobrizadas de ø14 [mm] x 2 [m] a 0.5 [m] de profundidad dispuestas en hilera</v>
      </c>
    </row>
    <row r="85" spans="1:5" x14ac:dyDescent="0.3">
      <c r="A85" s="2" t="s">
        <v>68</v>
      </c>
      <c r="B85" s="12" t="s">
        <v>55</v>
      </c>
      <c r="C85" s="25">
        <f>VLOOKUP(C84,REF!A30:E40,3,FALSE)</f>
        <v>0.20100000000000001</v>
      </c>
      <c r="D85" s="26" t="s">
        <v>91</v>
      </c>
      <c r="E85" s="12" t="s">
        <v>59</v>
      </c>
    </row>
    <row r="86" spans="1:5" ht="15" thickBot="1" x14ac:dyDescent="0.35">
      <c r="A86" s="8" t="s">
        <v>32</v>
      </c>
      <c r="B86" s="14" t="s">
        <v>57</v>
      </c>
      <c r="C86" s="31">
        <f>C85*C82</f>
        <v>50.25</v>
      </c>
      <c r="D86" s="14" t="s">
        <v>90</v>
      </c>
      <c r="E86" s="14" t="s">
        <v>131</v>
      </c>
    </row>
    <row r="87" spans="1:5" x14ac:dyDescent="0.3">
      <c r="A87" s="66" t="s">
        <v>244</v>
      </c>
      <c r="B87" s="67"/>
      <c r="C87" s="67"/>
      <c r="D87" s="68"/>
      <c r="E87" s="43" t="str">
        <f>IF(C86&lt;C83,"Cumple ☑", "No cumple ☒")</f>
        <v>Cumple ☑</v>
      </c>
    </row>
    <row r="88" spans="1:5" x14ac:dyDescent="0.3">
      <c r="A88" s="71" t="s">
        <v>243</v>
      </c>
      <c r="B88" s="72"/>
      <c r="C88" s="72"/>
      <c r="D88" s="73"/>
      <c r="E88" s="43" t="str">
        <f>IF(C86&lt;=2,"Cumple ☑", "No cumple ☒")</f>
        <v>No cumple ☒</v>
      </c>
    </row>
    <row r="90" spans="1:5" x14ac:dyDescent="0.3">
      <c r="A90" s="60" t="s">
        <v>207</v>
      </c>
      <c r="B90" s="60"/>
      <c r="C90" s="60"/>
      <c r="D90" s="60"/>
      <c r="E90" s="60"/>
    </row>
    <row r="91" spans="1:5" ht="14.4" customHeight="1" x14ac:dyDescent="0.3">
      <c r="A91" s="69" t="s">
        <v>248</v>
      </c>
      <c r="B91" s="69"/>
      <c r="C91" s="69"/>
      <c r="D91" s="69"/>
      <c r="E91" s="69"/>
    </row>
    <row r="92" spans="1:5" x14ac:dyDescent="0.3">
      <c r="A92" s="69"/>
      <c r="B92" s="69"/>
      <c r="C92" s="69"/>
      <c r="D92" s="69"/>
      <c r="E92" s="69"/>
    </row>
    <row r="93" spans="1:5" ht="15" thickBot="1" x14ac:dyDescent="0.35">
      <c r="A93" s="70"/>
      <c r="B93" s="70"/>
      <c r="C93" s="70"/>
      <c r="D93" s="70"/>
      <c r="E93" s="70"/>
    </row>
    <row r="94" spans="1:5" x14ac:dyDescent="0.3">
      <c r="A94" s="59" t="s">
        <v>250</v>
      </c>
      <c r="B94" s="59"/>
      <c r="C94" s="59"/>
      <c r="D94" s="59"/>
      <c r="E94" s="39">
        <f>1000/C38</f>
        <v>6.5154050236378902</v>
      </c>
    </row>
    <row r="95" spans="1:5" x14ac:dyDescent="0.3">
      <c r="A95" s="60" t="s">
        <v>251</v>
      </c>
      <c r="B95" s="60"/>
      <c r="C95" s="60"/>
      <c r="D95" s="60"/>
      <c r="E95" s="4">
        <f>MIN(C25:C26)/C38</f>
        <v>5.9655048396428523</v>
      </c>
    </row>
    <row r="96" spans="1:5" x14ac:dyDescent="0.3">
      <c r="A96" s="60" t="s">
        <v>252</v>
      </c>
      <c r="B96" s="60"/>
      <c r="C96" s="60"/>
      <c r="D96" s="60"/>
      <c r="E96" s="4">
        <f>MIN(E94,E95,2)</f>
        <v>2</v>
      </c>
    </row>
  </sheetData>
  <mergeCells count="31">
    <mergeCell ref="A51:E51"/>
    <mergeCell ref="A65:D65"/>
    <mergeCell ref="A64:D64"/>
    <mergeCell ref="A67:E67"/>
    <mergeCell ref="A78:E78"/>
    <mergeCell ref="A63:D63"/>
    <mergeCell ref="A76:D76"/>
    <mergeCell ref="E45:E46"/>
    <mergeCell ref="A1:E1"/>
    <mergeCell ref="E28:E32"/>
    <mergeCell ref="E25:E27"/>
    <mergeCell ref="A7:D7"/>
    <mergeCell ref="A34:E34"/>
    <mergeCell ref="A2:D2"/>
    <mergeCell ref="A3:D3"/>
    <mergeCell ref="A5:D5"/>
    <mergeCell ref="E41:E43"/>
    <mergeCell ref="A9:E9"/>
    <mergeCell ref="A4:D4"/>
    <mergeCell ref="A6:D6"/>
    <mergeCell ref="A94:D94"/>
    <mergeCell ref="A95:D95"/>
    <mergeCell ref="A96:D96"/>
    <mergeCell ref="A62:D62"/>
    <mergeCell ref="E55:E56"/>
    <mergeCell ref="A61:D61"/>
    <mergeCell ref="A60:D60"/>
    <mergeCell ref="A90:E90"/>
    <mergeCell ref="A91:E93"/>
    <mergeCell ref="A87:D87"/>
    <mergeCell ref="A88:D88"/>
  </mergeCells>
  <phoneticPr fontId="3" type="noConversion"/>
  <conditionalFormatting sqref="E60:E65">
    <cfRule type="containsText" dxfId="2" priority="5" operator="containsText" text="No cumple ☒">
      <formula>NOT(ISERROR(SEARCH("No cumple ☒",E60)))</formula>
    </cfRule>
  </conditionalFormatting>
  <conditionalFormatting sqref="E76">
    <cfRule type="containsText" dxfId="1" priority="2" operator="containsText" text="No cumple ☒">
      <formula>NOT(ISERROR(SEARCH("No cumple ☒",E76)))</formula>
    </cfRule>
  </conditionalFormatting>
  <conditionalFormatting sqref="E87:E88">
    <cfRule type="containsText" dxfId="0" priority="1" operator="containsText" text="No cumple ☒">
      <formula>NOT(ISERROR(SEARCH("No cumple ☒",E87)))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61" fitToHeight="0" orientation="portrait" r:id="rId1"/>
  <ignoredErrors>
    <ignoredError sqref="C73 C84" twoDigitTextYear="1"/>
  </ignoredErrors>
  <extLst>
    <ext xmlns:x14="http://schemas.microsoft.com/office/spreadsheetml/2009/9/main" uri="{CCE6A557-97BC-4b89-ADB6-D9C93CAAB3DF}">
      <x14:dataValidations xmlns:xm="http://schemas.microsoft.com/office/excel/2006/main" disablePrompts="1" count="5">
        <x14:dataValidation type="list" allowBlank="1" showInputMessage="1" xr:uid="{828881EA-80A7-44DC-8E84-A2C2D1164B05}">
          <x14:formula1>
            <xm:f>REF!$A$3:$A$15</xm:f>
          </x14:formula1>
          <xm:sqref>C13</xm:sqref>
        </x14:dataValidation>
        <x14:dataValidation type="list" allowBlank="1" showInputMessage="1" showErrorMessage="1" xr:uid="{255CB8C0-D5AA-4AF5-A01C-94263961BB49}">
          <x14:formula1>
            <xm:f>REF!$A$30:$A$40</xm:f>
          </x14:formula1>
          <xm:sqref>C73 C84</xm:sqref>
        </x14:dataValidation>
        <x14:dataValidation type="list" allowBlank="1" showInputMessage="1" showErrorMessage="1" xr:uid="{66B50A67-B158-4029-AB66-81A4D690CA63}">
          <x14:formula1>
            <xm:f>REF!$D$3:$D$4</xm:f>
          </x14:formula1>
          <xm:sqref>C11</xm:sqref>
        </x14:dataValidation>
        <x14:dataValidation type="list" allowBlank="1" showInputMessage="1" showErrorMessage="1" xr:uid="{C3CF7D4A-59C1-4DD6-A310-9F63C0142BA4}">
          <x14:formula1>
            <xm:f>REF!$A$19:$A$27</xm:f>
          </x14:formula1>
          <xm:sqref>C40</xm:sqref>
        </x14:dataValidation>
        <x14:dataValidation type="list" allowBlank="1" showInputMessage="1" showErrorMessage="1" xr:uid="{6D12DAE3-24A8-4E7C-AFB2-637B2593DC72}">
          <x14:formula1>
            <xm:f>REF!$J$3:$J$5</xm:f>
          </x14:formula1>
          <xm:sqref>C48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6E5260-94D9-436C-A91C-9CEE89E30E4A}">
  <sheetPr>
    <tabColor theme="3" tint="-0.249977111117893"/>
  </sheetPr>
  <dimension ref="A1:BC11"/>
  <sheetViews>
    <sheetView zoomScale="140" zoomScaleNormal="140" workbookViewId="0">
      <selection activeCell="H7" sqref="H7"/>
    </sheetView>
  </sheetViews>
  <sheetFormatPr baseColWidth="10" defaultColWidth="8.88671875" defaultRowHeight="14.4" x14ac:dyDescent="0.3"/>
  <cols>
    <col min="1" max="2" width="15.77734375" style="1" customWidth="1"/>
    <col min="3" max="3" width="14.77734375" style="1" customWidth="1"/>
    <col min="4" max="4" width="13.6640625" style="1" customWidth="1"/>
    <col min="5" max="5" width="12.77734375" style="1" customWidth="1"/>
    <col min="6" max="7" width="10.77734375" style="1" customWidth="1"/>
    <col min="8" max="9" width="12.77734375" style="1" customWidth="1"/>
    <col min="10" max="55" width="20.77734375" style="1" customWidth="1"/>
  </cols>
  <sheetData>
    <row r="1" spans="1:55" x14ac:dyDescent="0.3">
      <c r="A1" s="60" t="s">
        <v>214</v>
      </c>
      <c r="B1" s="60"/>
      <c r="C1" s="60"/>
      <c r="D1" s="60"/>
      <c r="E1" s="60"/>
      <c r="F1" s="60"/>
      <c r="G1" s="60"/>
      <c r="H1" s="60"/>
    </row>
    <row r="2" spans="1:55" ht="27.6" x14ac:dyDescent="0.3">
      <c r="A2" s="37" t="s">
        <v>3</v>
      </c>
      <c r="B2" s="37" t="s">
        <v>221</v>
      </c>
      <c r="C2" s="37" t="s">
        <v>218</v>
      </c>
      <c r="D2" s="37" t="s">
        <v>127</v>
      </c>
      <c r="E2" s="37" t="s">
        <v>128</v>
      </c>
      <c r="F2" s="37" t="s">
        <v>224</v>
      </c>
      <c r="G2" s="37" t="s">
        <v>129</v>
      </c>
      <c r="H2" s="37" t="s">
        <v>120</v>
      </c>
      <c r="BC2"/>
    </row>
    <row r="3" spans="1:55" x14ac:dyDescent="0.3">
      <c r="A3" s="21">
        <f>PAT!C16</f>
        <v>250</v>
      </c>
      <c r="B3" s="13" t="s">
        <v>125</v>
      </c>
      <c r="C3" s="18">
        <f>VLOOKUP(ALT!B3,REF!G3:H4,2,FALSE)</f>
        <v>1.6</v>
      </c>
      <c r="D3" s="46">
        <v>1</v>
      </c>
      <c r="E3" s="46">
        <v>1</v>
      </c>
      <c r="F3" s="47">
        <v>2</v>
      </c>
      <c r="G3" s="18">
        <f>H3/A3</f>
        <v>0.2</v>
      </c>
      <c r="H3" s="18">
        <f>C3*A3/(2*D3+2*E3)/F3</f>
        <v>50</v>
      </c>
      <c r="BC3"/>
    </row>
    <row r="5" spans="1:55" x14ac:dyDescent="0.3">
      <c r="A5" s="60" t="s">
        <v>215</v>
      </c>
      <c r="B5" s="60"/>
      <c r="C5" s="60"/>
      <c r="D5" s="60"/>
      <c r="E5" s="60"/>
      <c r="F5" s="60"/>
      <c r="G5" s="60"/>
      <c r="H5" s="60"/>
      <c r="I5" s="60"/>
    </row>
    <row r="6" spans="1:55" ht="27.6" x14ac:dyDescent="0.3">
      <c r="A6" s="2" t="s">
        <v>3</v>
      </c>
      <c r="B6" s="37" t="s">
        <v>220</v>
      </c>
      <c r="C6" s="37" t="s">
        <v>225</v>
      </c>
      <c r="D6" s="37" t="s">
        <v>133</v>
      </c>
      <c r="E6" s="37" t="s">
        <v>206</v>
      </c>
      <c r="F6" s="37" t="s">
        <v>223</v>
      </c>
      <c r="G6" s="37" t="s">
        <v>129</v>
      </c>
      <c r="H6" s="37" t="s">
        <v>238</v>
      </c>
      <c r="I6" s="37" t="s">
        <v>120</v>
      </c>
    </row>
    <row r="7" spans="1:55" x14ac:dyDescent="0.3">
      <c r="A7" s="21">
        <f>PAT!C16</f>
        <v>250</v>
      </c>
      <c r="B7" s="48">
        <v>2</v>
      </c>
      <c r="C7" s="48">
        <v>8</v>
      </c>
      <c r="D7" s="48">
        <v>4</v>
      </c>
      <c r="E7" s="18">
        <f>B7*1.5</f>
        <v>3</v>
      </c>
      <c r="F7" s="49">
        <f>ROUNDDOWN(C7/E7+1,0)+ROUNDDOWN(D7/E7,0)*ROUNDDOWN(C7/E7+1,0)</f>
        <v>6</v>
      </c>
      <c r="G7" s="25">
        <f>1/(4*SQRT(C7*D7/PI()))+1/(B7*F7)</f>
        <v>0.16166546691555209</v>
      </c>
      <c r="H7" s="25">
        <f>0.22*G7</f>
        <v>3.5566402721421461E-2</v>
      </c>
      <c r="I7" s="18">
        <f>A7*G7</f>
        <v>40.416366728888022</v>
      </c>
    </row>
    <row r="9" spans="1:55" x14ac:dyDescent="0.3">
      <c r="A9" s="60" t="s">
        <v>213</v>
      </c>
      <c r="B9" s="60"/>
      <c r="C9" s="60"/>
      <c r="D9" s="60"/>
    </row>
    <row r="10" spans="1:55" ht="27.6" x14ac:dyDescent="0.3">
      <c r="A10" s="37" t="s">
        <v>222</v>
      </c>
      <c r="B10" s="37" t="s">
        <v>211</v>
      </c>
      <c r="C10" s="37" t="s">
        <v>212</v>
      </c>
      <c r="D10" s="37" t="s">
        <v>219</v>
      </c>
    </row>
    <row r="11" spans="1:55" x14ac:dyDescent="0.3">
      <c r="A11" s="30">
        <f>PAT!C44</f>
        <v>15.75</v>
      </c>
      <c r="B11" s="13">
        <v>40</v>
      </c>
      <c r="C11" s="18">
        <f>(B11*A11)/(B11+A11)</f>
        <v>11.300448430493274</v>
      </c>
      <c r="D11" s="18">
        <f>ROUND(C11/A11,2)</f>
        <v>0.72</v>
      </c>
    </row>
  </sheetData>
  <mergeCells count="3">
    <mergeCell ref="A9:D9"/>
    <mergeCell ref="A5:I5"/>
    <mergeCell ref="A1:H1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B9FCDF5-A4A2-458B-8CED-B0F1CA309A5E}">
          <x14:formula1>
            <xm:f>REF!$G$3:$G$4</xm:f>
          </x14:formula1>
          <xm:sqref>B3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3958E-AA75-469E-96FB-55985A9E87E0}">
  <sheetPr>
    <tabColor theme="4" tint="0.39997558519241921"/>
  </sheetPr>
  <dimension ref="A1:AY40"/>
  <sheetViews>
    <sheetView topLeftCell="A13" workbookViewId="0">
      <selection activeCell="K34" sqref="K34"/>
    </sheetView>
  </sheetViews>
  <sheetFormatPr baseColWidth="10" defaultColWidth="8.88671875" defaultRowHeight="14.4" x14ac:dyDescent="0.3"/>
  <cols>
    <col min="1" max="5" width="20.77734375" style="1" customWidth="1"/>
    <col min="6" max="24" width="10.77734375" style="1" customWidth="1"/>
    <col min="25" max="50" width="20.77734375" style="1" customWidth="1"/>
  </cols>
  <sheetData>
    <row r="1" spans="1:11" x14ac:dyDescent="0.3">
      <c r="A1" s="71" t="s">
        <v>80</v>
      </c>
      <c r="B1" s="73"/>
      <c r="D1" s="71" t="s">
        <v>81</v>
      </c>
      <c r="E1" s="73"/>
      <c r="G1" s="71" t="s">
        <v>123</v>
      </c>
      <c r="H1" s="73"/>
      <c r="J1" s="71" t="s">
        <v>134</v>
      </c>
      <c r="K1" s="73"/>
    </row>
    <row r="2" spans="1:11" x14ac:dyDescent="0.3">
      <c r="A2" s="2" t="s">
        <v>1</v>
      </c>
      <c r="B2" s="2" t="s">
        <v>2</v>
      </c>
      <c r="D2" s="2" t="s">
        <v>124</v>
      </c>
      <c r="E2" s="2" t="s">
        <v>35</v>
      </c>
      <c r="G2" s="2" t="s">
        <v>121</v>
      </c>
      <c r="H2" s="2" t="s">
        <v>122</v>
      </c>
      <c r="J2" s="2" t="s">
        <v>135</v>
      </c>
      <c r="K2" s="2" t="s">
        <v>10</v>
      </c>
    </row>
    <row r="3" spans="1:11" x14ac:dyDescent="0.3">
      <c r="A3" s="13">
        <v>0.05</v>
      </c>
      <c r="B3" s="12">
        <v>735</v>
      </c>
      <c r="D3" s="12" t="s">
        <v>33</v>
      </c>
      <c r="E3" s="18">
        <f>IF(PAT!C13&gt;5,250,1200)</f>
        <v>1200</v>
      </c>
      <c r="G3" s="12" t="s">
        <v>125</v>
      </c>
      <c r="H3" s="12">
        <v>1.6</v>
      </c>
      <c r="J3" s="12" t="s">
        <v>136</v>
      </c>
      <c r="K3" s="12">
        <v>60</v>
      </c>
    </row>
    <row r="4" spans="1:11" x14ac:dyDescent="0.3">
      <c r="A4" s="13">
        <v>0.1</v>
      </c>
      <c r="B4" s="12">
        <v>633</v>
      </c>
      <c r="D4" s="12" t="s">
        <v>58</v>
      </c>
      <c r="E4" s="18">
        <f>MIN(PAT!C25:C27)*2</f>
        <v>712.5</v>
      </c>
      <c r="G4" s="12" t="s">
        <v>126</v>
      </c>
      <c r="H4" s="12">
        <v>0.8</v>
      </c>
      <c r="J4" s="12" t="s">
        <v>137</v>
      </c>
      <c r="K4" s="12">
        <v>100</v>
      </c>
    </row>
    <row r="5" spans="1:11" x14ac:dyDescent="0.3">
      <c r="A5" s="13">
        <v>0.2</v>
      </c>
      <c r="B5" s="12">
        <v>528</v>
      </c>
      <c r="J5" s="12" t="s">
        <v>138</v>
      </c>
      <c r="K5" s="12">
        <v>160</v>
      </c>
    </row>
    <row r="6" spans="1:11" x14ac:dyDescent="0.3">
      <c r="A6" s="13">
        <v>0.3</v>
      </c>
      <c r="B6" s="12">
        <v>420</v>
      </c>
    </row>
    <row r="7" spans="1:11" x14ac:dyDescent="0.3">
      <c r="A7" s="13">
        <v>0.4</v>
      </c>
      <c r="B7" s="12">
        <v>310</v>
      </c>
    </row>
    <row r="8" spans="1:11" x14ac:dyDescent="0.3">
      <c r="A8" s="13">
        <v>0.5</v>
      </c>
      <c r="B8" s="12">
        <v>204</v>
      </c>
    </row>
    <row r="9" spans="1:11" x14ac:dyDescent="0.3">
      <c r="A9" s="13">
        <v>0.7</v>
      </c>
      <c r="B9" s="12">
        <v>150</v>
      </c>
    </row>
    <row r="10" spans="1:11" x14ac:dyDescent="0.3">
      <c r="A10" s="13">
        <v>1</v>
      </c>
      <c r="B10" s="12">
        <v>107</v>
      </c>
    </row>
    <row r="11" spans="1:11" x14ac:dyDescent="0.3">
      <c r="A11" s="13">
        <v>2</v>
      </c>
      <c r="B11" s="12">
        <v>90</v>
      </c>
    </row>
    <row r="12" spans="1:11" x14ac:dyDescent="0.3">
      <c r="A12" s="13">
        <v>5</v>
      </c>
      <c r="B12" s="12">
        <v>81</v>
      </c>
    </row>
    <row r="13" spans="1:11" x14ac:dyDescent="0.3">
      <c r="A13" s="13">
        <v>10</v>
      </c>
      <c r="B13" s="12">
        <v>80</v>
      </c>
    </row>
    <row r="14" spans="1:11" x14ac:dyDescent="0.3">
      <c r="A14" s="18">
        <f>MAX(PAT!C13+0.0001,10.0001)</f>
        <v>10.0001</v>
      </c>
      <c r="B14" s="12">
        <v>50</v>
      </c>
    </row>
    <row r="15" spans="1:11" x14ac:dyDescent="0.3">
      <c r="A15" s="12"/>
      <c r="B15" s="12"/>
    </row>
    <row r="17" spans="1:51" x14ac:dyDescent="0.3">
      <c r="A17" s="60" t="s">
        <v>119</v>
      </c>
      <c r="B17" s="60"/>
      <c r="C17" s="60"/>
      <c r="D17" s="60"/>
      <c r="E17" s="60"/>
      <c r="F17" s="71" t="s">
        <v>102</v>
      </c>
      <c r="G17" s="72"/>
      <c r="H17" s="72"/>
      <c r="I17" s="72"/>
      <c r="J17" s="72"/>
      <c r="K17" s="60" t="s">
        <v>103</v>
      </c>
    </row>
    <row r="18" spans="1:51" x14ac:dyDescent="0.3">
      <c r="A18" s="2" t="s">
        <v>1</v>
      </c>
      <c r="B18" s="2" t="s">
        <v>96</v>
      </c>
      <c r="C18" s="2" t="s">
        <v>22</v>
      </c>
      <c r="D18" s="2" t="s">
        <v>237</v>
      </c>
      <c r="E18" s="2" t="s">
        <v>24</v>
      </c>
      <c r="F18" s="2" t="s">
        <v>97</v>
      </c>
      <c r="G18" s="2" t="s">
        <v>98</v>
      </c>
      <c r="H18" s="2" t="s">
        <v>99</v>
      </c>
      <c r="I18" s="2" t="s">
        <v>100</v>
      </c>
      <c r="J18" s="2" t="s">
        <v>101</v>
      </c>
      <c r="K18" s="60"/>
      <c r="AY18" s="1"/>
    </row>
    <row r="19" spans="1:51" x14ac:dyDescent="0.3">
      <c r="A19" s="50" t="s">
        <v>104</v>
      </c>
      <c r="B19" s="10" t="s">
        <v>106</v>
      </c>
      <c r="C19" s="51">
        <v>0.11</v>
      </c>
      <c r="D19" s="51">
        <v>2.58E-2</v>
      </c>
      <c r="E19" s="51">
        <v>5.6300000000000003E-2</v>
      </c>
      <c r="F19" s="13">
        <v>3</v>
      </c>
      <c r="G19" s="13">
        <v>3</v>
      </c>
      <c r="H19" s="13">
        <v>0.5</v>
      </c>
      <c r="I19" s="12">
        <v>4</v>
      </c>
      <c r="J19" s="12">
        <v>2</v>
      </c>
      <c r="K19" s="52" t="str">
        <f>CONCATENATE(I19," · picas cobrizadas de ø14 [mm] x ",J19," [m] a ",H19," [m] de profundidad dispuestas en anillo de ",F19,"x",G19," [m] y unidas por conductor desnudo de 50 [mm²]")</f>
        <v>4 · picas cobrizadas de ø14 [mm] x 2 [m] a 0.5 [m] de profundidad dispuestas en anillo de 3x3 [m] y unidas por conductor desnudo de 50 [mm²]</v>
      </c>
      <c r="AY19" s="1"/>
    </row>
    <row r="20" spans="1:51" x14ac:dyDescent="0.3">
      <c r="A20" s="50" t="s">
        <v>105</v>
      </c>
      <c r="B20" s="12" t="s">
        <v>106</v>
      </c>
      <c r="C20" s="26">
        <v>0.105</v>
      </c>
      <c r="D20" s="26">
        <v>1.78E-2</v>
      </c>
      <c r="E20" s="26">
        <v>5.45E-2</v>
      </c>
      <c r="F20" s="13">
        <v>3</v>
      </c>
      <c r="G20" s="13">
        <v>3</v>
      </c>
      <c r="H20" s="13">
        <v>0.8</v>
      </c>
      <c r="I20" s="12">
        <v>4</v>
      </c>
      <c r="J20" s="12">
        <v>2</v>
      </c>
      <c r="K20" s="52" t="str">
        <f t="shared" ref="K20:K25" si="0">CONCATENATE(I20," · picas cobrizadas de ø14 [mm] x ",J20," [m] a ",H20," [m] de profundidad dispuestas en anillo de ",F20,"x",G20," [m] y unidas por conductor desnudo de 50 [mm²]")</f>
        <v>4 · picas cobrizadas de ø14 [mm] x 2 [m] a 0.8 [m] de profundidad dispuestas en anillo de 3x3 [m] y unidas por conductor desnudo de 50 [mm²]</v>
      </c>
      <c r="AY20" s="1"/>
    </row>
    <row r="21" spans="1:51" x14ac:dyDescent="0.3">
      <c r="A21" s="50" t="s">
        <v>107</v>
      </c>
      <c r="B21" s="12" t="s">
        <v>4</v>
      </c>
      <c r="C21" s="26">
        <v>9.1999999999999998E-2</v>
      </c>
      <c r="D21" s="26">
        <v>2.1000000000000001E-2</v>
      </c>
      <c r="E21" s="26">
        <v>4.6100000000000002E-2</v>
      </c>
      <c r="F21" s="13">
        <v>4</v>
      </c>
      <c r="G21" s="13">
        <v>4</v>
      </c>
      <c r="H21" s="13">
        <v>0.5</v>
      </c>
      <c r="I21" s="12">
        <v>4</v>
      </c>
      <c r="J21" s="12">
        <v>2</v>
      </c>
      <c r="K21" s="52" t="str">
        <f t="shared" si="0"/>
        <v>4 · picas cobrizadas de ø14 [mm] x 2 [m] a 0.5 [m] de profundidad dispuestas en anillo de 4x4 [m] y unidas por conductor desnudo de 50 [mm²]</v>
      </c>
      <c r="AY21" s="1"/>
    </row>
    <row r="22" spans="1:51" x14ac:dyDescent="0.3">
      <c r="A22" s="50" t="s">
        <v>108</v>
      </c>
      <c r="B22" s="12" t="s">
        <v>4</v>
      </c>
      <c r="C22" s="26">
        <v>8.8999999999999996E-2</v>
      </c>
      <c r="D22" s="26">
        <v>1.44E-2</v>
      </c>
      <c r="E22" s="26">
        <v>4.4699999999999997E-2</v>
      </c>
      <c r="F22" s="13">
        <v>4</v>
      </c>
      <c r="G22" s="13">
        <v>4</v>
      </c>
      <c r="H22" s="13">
        <v>0.8</v>
      </c>
      <c r="I22" s="12">
        <v>4</v>
      </c>
      <c r="J22" s="12">
        <v>2</v>
      </c>
      <c r="K22" s="52" t="str">
        <f t="shared" si="0"/>
        <v>4 · picas cobrizadas de ø14 [mm] x 2 [m] a 0.8 [m] de profundidad dispuestas en anillo de 4x4 [m] y unidas por conductor desnudo de 50 [mm²]</v>
      </c>
      <c r="AY22" s="1"/>
    </row>
    <row r="23" spans="1:51" x14ac:dyDescent="0.3">
      <c r="A23" s="53" t="s">
        <v>38</v>
      </c>
      <c r="B23" s="12" t="s">
        <v>42</v>
      </c>
      <c r="C23" s="26">
        <v>7.1999999999999995E-2</v>
      </c>
      <c r="D23" s="26">
        <v>1.54E-2</v>
      </c>
      <c r="E23" s="26">
        <v>3.2099999999999997E-2</v>
      </c>
      <c r="F23" s="13">
        <v>6</v>
      </c>
      <c r="G23" s="13">
        <v>4</v>
      </c>
      <c r="H23" s="13">
        <v>0.5</v>
      </c>
      <c r="I23" s="12">
        <v>8</v>
      </c>
      <c r="J23" s="12">
        <v>2</v>
      </c>
      <c r="K23" s="52" t="str">
        <f t="shared" si="0"/>
        <v>8 · picas cobrizadas de ø14 [mm] x 2 [m] a 0.5 [m] de profundidad dispuestas en anillo de 6x4 [m] y unidas por conductor desnudo de 50 [mm²]</v>
      </c>
      <c r="AY23" s="1"/>
    </row>
    <row r="24" spans="1:51" x14ac:dyDescent="0.3">
      <c r="A24" s="53" t="s">
        <v>39</v>
      </c>
      <c r="B24" s="12" t="s">
        <v>42</v>
      </c>
      <c r="C24" s="26">
        <v>6.9000000000000006E-2</v>
      </c>
      <c r="D24" s="26">
        <v>1.09E-2</v>
      </c>
      <c r="E24" s="26">
        <v>3.1199999999999999E-2</v>
      </c>
      <c r="F24" s="13">
        <v>6</v>
      </c>
      <c r="G24" s="13">
        <v>4</v>
      </c>
      <c r="H24" s="13">
        <v>0.8</v>
      </c>
      <c r="I24" s="12">
        <v>8</v>
      </c>
      <c r="J24" s="12">
        <v>2</v>
      </c>
      <c r="K24" s="52" t="str">
        <f t="shared" si="0"/>
        <v>8 · picas cobrizadas de ø14 [mm] x 2 [m] a 0.8 [m] de profundidad dispuestas en anillo de 6x4 [m] y unidas por conductor desnudo de 50 [mm²]</v>
      </c>
      <c r="AY24" s="1"/>
    </row>
    <row r="25" spans="1:51" x14ac:dyDescent="0.3">
      <c r="A25" s="53" t="s">
        <v>40</v>
      </c>
      <c r="B25" s="12" t="s">
        <v>43</v>
      </c>
      <c r="C25" s="26">
        <v>6.5000000000000002E-2</v>
      </c>
      <c r="D25" s="26">
        <v>1.34E-2</v>
      </c>
      <c r="E25" s="26">
        <v>2.8400000000000002E-2</v>
      </c>
      <c r="F25" s="13">
        <v>8</v>
      </c>
      <c r="G25" s="13">
        <v>4</v>
      </c>
      <c r="H25" s="13">
        <v>0.5</v>
      </c>
      <c r="I25" s="12">
        <v>8</v>
      </c>
      <c r="J25" s="12">
        <v>2</v>
      </c>
      <c r="K25" s="52" t="str">
        <f t="shared" si="0"/>
        <v>8 · picas cobrizadas de ø14 [mm] x 2 [m] a 0.5 [m] de profundidad dispuestas en anillo de 8x4 [m] y unidas por conductor desnudo de 50 [mm²]</v>
      </c>
      <c r="AY25" s="1"/>
    </row>
    <row r="26" spans="1:51" x14ac:dyDescent="0.3">
      <c r="A26" s="53" t="s">
        <v>41</v>
      </c>
      <c r="B26" s="12" t="s">
        <v>43</v>
      </c>
      <c r="C26" s="26">
        <v>6.3E-2</v>
      </c>
      <c r="D26" s="26">
        <v>9.4999999999999998E-3</v>
      </c>
      <c r="E26" s="26">
        <v>2.7699999999999999E-2</v>
      </c>
      <c r="F26" s="13">
        <v>8</v>
      </c>
      <c r="G26" s="13">
        <v>4</v>
      </c>
      <c r="H26" s="13">
        <v>0.8</v>
      </c>
      <c r="I26" s="12">
        <v>8</v>
      </c>
      <c r="J26" s="12">
        <v>2</v>
      </c>
      <c r="K26" s="52" t="str">
        <f t="shared" ref="K26" si="1">CONCATENATE(I26," · picas cobrizadas de ø14 [mm] x ",J26," [m] a ",H26," [m] de profundidad dispuestas en anillo de ",F26,"x",G26," [m] y unidas por conductor desnudo de 50 [mm²]")</f>
        <v>8 · picas cobrizadas de ø14 [mm] x 2 [m] a 0.8 [m] de profundidad dispuestas en anillo de 8x4 [m] y unidas por conductor desnudo de 50 [mm²]</v>
      </c>
      <c r="AY26" s="1"/>
    </row>
    <row r="27" spans="1:51" ht="15" thickBot="1" x14ac:dyDescent="0.35">
      <c r="A27" s="54"/>
      <c r="B27" s="20"/>
      <c r="C27" s="55"/>
      <c r="D27" s="55"/>
      <c r="E27" s="55"/>
      <c r="F27" s="56"/>
      <c r="G27" s="56"/>
      <c r="H27" s="56"/>
      <c r="I27" s="20"/>
      <c r="J27" s="20"/>
      <c r="K27" s="57"/>
      <c r="AY27" s="1"/>
    </row>
    <row r="28" spans="1:51" x14ac:dyDescent="0.3">
      <c r="A28" s="60" t="s">
        <v>118</v>
      </c>
      <c r="B28" s="60"/>
      <c r="C28" s="60"/>
      <c r="D28" s="60"/>
      <c r="E28" s="60"/>
      <c r="F28" s="71" t="s">
        <v>102</v>
      </c>
      <c r="G28" s="72"/>
      <c r="H28" s="72"/>
      <c r="I28" s="72"/>
      <c r="J28" s="72"/>
      <c r="K28" s="59" t="s">
        <v>103</v>
      </c>
      <c r="AY28" s="1"/>
    </row>
    <row r="29" spans="1:51" x14ac:dyDescent="0.3">
      <c r="A29" s="7" t="s">
        <v>1</v>
      </c>
      <c r="B29" s="7" t="s">
        <v>96</v>
      </c>
      <c r="C29" s="7" t="s">
        <v>22</v>
      </c>
      <c r="D29" s="7" t="s">
        <v>23</v>
      </c>
      <c r="E29" s="7" t="s">
        <v>24</v>
      </c>
      <c r="F29" s="2" t="s">
        <v>97</v>
      </c>
      <c r="G29" s="2" t="s">
        <v>98</v>
      </c>
      <c r="H29" s="2" t="s">
        <v>99</v>
      </c>
      <c r="I29" s="2" t="s">
        <v>100</v>
      </c>
      <c r="J29" s="2" t="s">
        <v>101</v>
      </c>
      <c r="K29" s="60"/>
      <c r="AY29" s="1"/>
    </row>
    <row r="30" spans="1:51" x14ac:dyDescent="0.3">
      <c r="A30" s="53" t="s">
        <v>44</v>
      </c>
      <c r="B30" s="58" t="s">
        <v>49</v>
      </c>
      <c r="C30" s="26">
        <v>0.20100000000000001</v>
      </c>
      <c r="D30" s="26">
        <v>3.9199999999999999E-2</v>
      </c>
      <c r="E30" s="58" t="s">
        <v>49</v>
      </c>
      <c r="F30" s="12" t="s">
        <v>83</v>
      </c>
      <c r="G30" s="12" t="s">
        <v>83</v>
      </c>
      <c r="H30" s="13">
        <v>0.5</v>
      </c>
      <c r="I30" s="12">
        <v>2</v>
      </c>
      <c r="J30" s="12">
        <v>2</v>
      </c>
      <c r="K30" s="52" t="str">
        <f>CONCATENATE(I30," · picas cobrizadas de ø14 [mm] x ",J30," [m] a ",H30," [m] de profundidad dispuestas en hilera")</f>
        <v>2 · picas cobrizadas de ø14 [mm] x 2 [m] a 0.5 [m] de profundidad dispuestas en hilera</v>
      </c>
      <c r="AY30" s="1"/>
    </row>
    <row r="31" spans="1:51" x14ac:dyDescent="0.3">
      <c r="A31" s="53" t="s">
        <v>50</v>
      </c>
      <c r="B31" s="58" t="s">
        <v>49</v>
      </c>
      <c r="C31" s="26">
        <v>0.19400000000000001</v>
      </c>
      <c r="D31" s="26">
        <v>2.53E-2</v>
      </c>
      <c r="E31" s="58" t="s">
        <v>49</v>
      </c>
      <c r="F31" s="12" t="s">
        <v>83</v>
      </c>
      <c r="G31" s="12" t="s">
        <v>83</v>
      </c>
      <c r="H31" s="13">
        <v>0.8</v>
      </c>
      <c r="I31" s="12">
        <v>2</v>
      </c>
      <c r="J31" s="12">
        <v>2</v>
      </c>
      <c r="K31" s="52" t="str">
        <f t="shared" ref="K31:K38" si="2">CONCATENATE(I31," · picas cobrizadas de ø14 [mm] x ",J31," [m] a ",H31," [m] de profundidad dispuestas en hilera")</f>
        <v>2 · picas cobrizadas de ø14 [mm] x 2 [m] a 0.8 [m] de profundidad dispuestas en hilera</v>
      </c>
      <c r="AY31" s="1"/>
    </row>
    <row r="32" spans="1:51" x14ac:dyDescent="0.3">
      <c r="A32" s="53" t="s">
        <v>45</v>
      </c>
      <c r="B32" s="58" t="s">
        <v>49</v>
      </c>
      <c r="C32" s="26">
        <v>0.13500000000000001</v>
      </c>
      <c r="D32" s="26">
        <v>2.52E-2</v>
      </c>
      <c r="E32" s="58" t="s">
        <v>49</v>
      </c>
      <c r="F32" s="12" t="s">
        <v>83</v>
      </c>
      <c r="G32" s="12" t="s">
        <v>83</v>
      </c>
      <c r="H32" s="13">
        <v>0.5</v>
      </c>
      <c r="I32" s="12">
        <v>3</v>
      </c>
      <c r="J32" s="12">
        <v>2</v>
      </c>
      <c r="K32" s="52" t="str">
        <f t="shared" si="2"/>
        <v>3 · picas cobrizadas de ø14 [mm] x 2 [m] a 0.5 [m] de profundidad dispuestas en hilera</v>
      </c>
      <c r="AY32" s="1"/>
    </row>
    <row r="33" spans="1:51" x14ac:dyDescent="0.3">
      <c r="A33" s="53" t="s">
        <v>51</v>
      </c>
      <c r="B33" s="58" t="s">
        <v>49</v>
      </c>
      <c r="C33" s="26">
        <v>0.13</v>
      </c>
      <c r="D33" s="26">
        <v>1.7000000000000001E-2</v>
      </c>
      <c r="E33" s="58" t="s">
        <v>49</v>
      </c>
      <c r="F33" s="12" t="s">
        <v>83</v>
      </c>
      <c r="G33" s="12" t="s">
        <v>83</v>
      </c>
      <c r="H33" s="13">
        <v>0.8</v>
      </c>
      <c r="I33" s="12">
        <v>3</v>
      </c>
      <c r="J33" s="12">
        <v>2</v>
      </c>
      <c r="K33" s="52" t="str">
        <f t="shared" si="2"/>
        <v>3 · picas cobrizadas de ø14 [mm] x 2 [m] a 0.8 [m] de profundidad dispuestas en hilera</v>
      </c>
      <c r="AY33" s="1"/>
    </row>
    <row r="34" spans="1:51" x14ac:dyDescent="0.3">
      <c r="A34" s="53" t="s">
        <v>46</v>
      </c>
      <c r="B34" s="58" t="s">
        <v>49</v>
      </c>
      <c r="C34" s="26">
        <v>0.104</v>
      </c>
      <c r="D34" s="26">
        <v>1.84E-2</v>
      </c>
      <c r="E34" s="58" t="s">
        <v>49</v>
      </c>
      <c r="F34" s="12" t="s">
        <v>83</v>
      </c>
      <c r="G34" s="12" t="s">
        <v>83</v>
      </c>
      <c r="H34" s="13">
        <v>0.5</v>
      </c>
      <c r="I34" s="12">
        <v>4</v>
      </c>
      <c r="J34" s="12">
        <v>2</v>
      </c>
      <c r="K34" s="52" t="str">
        <f t="shared" si="2"/>
        <v>4 · picas cobrizadas de ø14 [mm] x 2 [m] a 0.5 [m] de profundidad dispuestas en hilera</v>
      </c>
      <c r="AY34" s="1"/>
    </row>
    <row r="35" spans="1:51" x14ac:dyDescent="0.3">
      <c r="A35" s="53" t="s">
        <v>52</v>
      </c>
      <c r="B35" s="58" t="s">
        <v>49</v>
      </c>
      <c r="C35" s="26">
        <v>0.1</v>
      </c>
      <c r="D35" s="26">
        <v>1.2699999999999999E-2</v>
      </c>
      <c r="E35" s="58" t="s">
        <v>49</v>
      </c>
      <c r="F35" s="12" t="s">
        <v>83</v>
      </c>
      <c r="G35" s="12" t="s">
        <v>83</v>
      </c>
      <c r="H35" s="13">
        <v>0.8</v>
      </c>
      <c r="I35" s="12">
        <v>4</v>
      </c>
      <c r="J35" s="12">
        <v>2</v>
      </c>
      <c r="K35" s="52" t="str">
        <f t="shared" si="2"/>
        <v>4 · picas cobrizadas de ø14 [mm] x 2 [m] a 0.8 [m] de profundidad dispuestas en hilera</v>
      </c>
    </row>
    <row r="36" spans="1:51" x14ac:dyDescent="0.3">
      <c r="A36" s="53" t="s">
        <v>47</v>
      </c>
      <c r="B36" s="58" t="s">
        <v>49</v>
      </c>
      <c r="C36" s="26">
        <v>7.2999999999999995E-2</v>
      </c>
      <c r="D36" s="26">
        <v>1.2E-2</v>
      </c>
      <c r="E36" s="58" t="s">
        <v>49</v>
      </c>
      <c r="F36" s="12" t="s">
        <v>83</v>
      </c>
      <c r="G36" s="12" t="s">
        <v>83</v>
      </c>
      <c r="H36" s="13">
        <v>0.5</v>
      </c>
      <c r="I36" s="12">
        <v>6</v>
      </c>
      <c r="J36" s="12">
        <v>2</v>
      </c>
      <c r="K36" s="52" t="str">
        <f t="shared" si="2"/>
        <v>6 · picas cobrizadas de ø14 [mm] x 2 [m] a 0.5 [m] de profundidad dispuestas en hilera</v>
      </c>
    </row>
    <row r="37" spans="1:51" x14ac:dyDescent="0.3">
      <c r="A37" s="53" t="s">
        <v>53</v>
      </c>
      <c r="B37" s="58" t="s">
        <v>49</v>
      </c>
      <c r="C37" s="26">
        <v>7.0699999999999999E-2</v>
      </c>
      <c r="D37" s="26">
        <v>8.3300000000000006E-3</v>
      </c>
      <c r="E37" s="58" t="s">
        <v>49</v>
      </c>
      <c r="F37" s="12" t="s">
        <v>83</v>
      </c>
      <c r="G37" s="12" t="s">
        <v>83</v>
      </c>
      <c r="H37" s="13">
        <v>0.8</v>
      </c>
      <c r="I37" s="12">
        <v>6</v>
      </c>
      <c r="J37" s="12">
        <v>2</v>
      </c>
      <c r="K37" s="52" t="str">
        <f t="shared" si="2"/>
        <v>6 · picas cobrizadas de ø14 [mm] x 2 [m] a 0.8 [m] de profundidad dispuestas en hilera</v>
      </c>
    </row>
    <row r="38" spans="1:51" x14ac:dyDescent="0.3">
      <c r="A38" s="53" t="s">
        <v>48</v>
      </c>
      <c r="B38" s="58" t="s">
        <v>49</v>
      </c>
      <c r="C38" s="26">
        <v>5.7200000000000001E-2</v>
      </c>
      <c r="D38" s="26">
        <v>3.4499999999999999E-3</v>
      </c>
      <c r="E38" s="58" t="s">
        <v>49</v>
      </c>
      <c r="F38" s="12" t="s">
        <v>83</v>
      </c>
      <c r="G38" s="12" t="s">
        <v>83</v>
      </c>
      <c r="H38" s="13">
        <v>0.5</v>
      </c>
      <c r="I38" s="12">
        <v>8</v>
      </c>
      <c r="J38" s="12">
        <v>2</v>
      </c>
      <c r="K38" s="52" t="str">
        <f t="shared" si="2"/>
        <v>8 · picas cobrizadas de ø14 [mm] x 2 [m] a 0.5 [m] de profundidad dispuestas en hilera</v>
      </c>
    </row>
    <row r="39" spans="1:51" x14ac:dyDescent="0.3">
      <c r="A39" s="53" t="s">
        <v>54</v>
      </c>
      <c r="B39" s="58" t="s">
        <v>49</v>
      </c>
      <c r="C39" s="26">
        <v>5.5599999999999997E-2</v>
      </c>
      <c r="D39" s="26">
        <v>2.5500000000000002E-3</v>
      </c>
      <c r="E39" s="58" t="s">
        <v>49</v>
      </c>
      <c r="F39" s="12" t="s">
        <v>83</v>
      </c>
      <c r="G39" s="12" t="s">
        <v>83</v>
      </c>
      <c r="H39" s="13">
        <v>0.8</v>
      </c>
      <c r="I39" s="12">
        <v>8</v>
      </c>
      <c r="J39" s="12">
        <v>2</v>
      </c>
      <c r="K39" s="52" t="str">
        <f t="shared" ref="K39" si="3">CONCATENATE(I39," · picas cobrizadas de ø14 [mm] x ",J39," [m] a ",H39," [m] de profundidad dispuestas en hilera")</f>
        <v>8 · picas cobrizadas de ø14 [mm] x 2 [m] a 0.8 [m] de profundidad dispuestas en hilera</v>
      </c>
    </row>
    <row r="40" spans="1:51" x14ac:dyDescent="0.3">
      <c r="A40" s="53"/>
      <c r="B40" s="58"/>
      <c r="C40" s="26"/>
      <c r="D40" s="26"/>
      <c r="E40" s="58"/>
      <c r="F40" s="12"/>
      <c r="G40" s="12"/>
      <c r="H40" s="13"/>
      <c r="I40" s="12"/>
      <c r="J40" s="12"/>
      <c r="K40" s="52"/>
    </row>
  </sheetData>
  <mergeCells count="10">
    <mergeCell ref="A1:B1"/>
    <mergeCell ref="D1:E1"/>
    <mergeCell ref="K17:K18"/>
    <mergeCell ref="K28:K29"/>
    <mergeCell ref="A17:E17"/>
    <mergeCell ref="A28:E28"/>
    <mergeCell ref="F17:J17"/>
    <mergeCell ref="F28:J28"/>
    <mergeCell ref="G1:H1"/>
    <mergeCell ref="J1:K1"/>
  </mergeCells>
  <phoneticPr fontId="3" type="noConversion"/>
  <pageMargins left="0.7" right="0.7" top="0.75" bottom="0.75" header="0.3" footer="0.3"/>
  <ignoredErrors>
    <ignoredError sqref="A30:A39" twoDigitTextYea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"/>
  <sheetViews>
    <sheetView workbookViewId="0">
      <selection activeCell="A2" sqref="A2"/>
    </sheetView>
  </sheetViews>
  <sheetFormatPr baseColWidth="10" defaultColWidth="8.88671875" defaultRowHeight="14.4" x14ac:dyDescent="0.3"/>
  <cols>
    <col min="1" max="52" width="20.77734375" style="1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PAT</vt:lpstr>
      <vt:lpstr>ALT</vt:lpstr>
      <vt:lpstr>REF</vt:lpstr>
      <vt:lpstr>BLANCO</vt:lpstr>
      <vt:lpstr>PAT!Área_de_impresión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Andrés Domínguez Galvá</dc:creator>
  <cp:lastModifiedBy>Andrés Domínguez Galvá</cp:lastModifiedBy>
  <cp:lastPrinted>2024-03-09T11:56:52Z</cp:lastPrinted>
  <dcterms:created xsi:type="dcterms:W3CDTF">2015-06-05T18:19:34Z</dcterms:created>
  <dcterms:modified xsi:type="dcterms:W3CDTF">2024-06-05T18:17:12Z</dcterms:modified>
</cp:coreProperties>
</file>